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\\valtion.fi\Yhteiset tiedostot\VM\KAO\Kuntatalous\Kuntien Tilinpäätös-kortit ja kuntatiedostot\Kuntakortti konsernit 2015-\"/>
    </mc:Choice>
  </mc:AlternateContent>
  <bookViews>
    <workbookView xWindow="0" yWindow="0" windowWidth="28800" windowHeight="12300"/>
  </bookViews>
  <sheets>
    <sheet name="Kuntakortti" sheetId="2" r:id="rId1"/>
    <sheet name="Luvut" sheetId="1" r:id="rId2"/>
  </sheets>
  <definedNames>
    <definedName name="_xlnm._FilterDatabase" localSheetId="1" hidden="1">Luvut!#REF!</definedName>
    <definedName name="_xlnm.Print_Area" localSheetId="0">Kuntakortti!$A$1:$L$76</definedName>
  </definedNames>
  <calcPr calcId="162913"/>
</workbook>
</file>

<file path=xl/calcChain.xml><?xml version="1.0" encoding="utf-8"?>
<calcChain xmlns="http://schemas.openxmlformats.org/spreadsheetml/2006/main">
  <c r="A4" i="2" l="1"/>
  <c r="J69" i="2" l="1"/>
  <c r="G70" i="2"/>
  <c r="J70" i="2"/>
  <c r="G64" i="2"/>
  <c r="J64" i="2"/>
  <c r="D64" i="2"/>
  <c r="G69" i="2"/>
  <c r="G68" i="2"/>
  <c r="G66" i="2"/>
  <c r="G67" i="2"/>
  <c r="D46" i="2"/>
  <c r="D45" i="2"/>
  <c r="J12" i="2"/>
  <c r="J67" i="2"/>
  <c r="D67" i="2"/>
  <c r="J61" i="2"/>
  <c r="J57" i="2"/>
  <c r="G56" i="2"/>
  <c r="D55" i="2"/>
  <c r="J66" i="2"/>
  <c r="D66" i="2"/>
  <c r="J60" i="2"/>
  <c r="J56" i="2"/>
  <c r="G55" i="2"/>
  <c r="J75" i="2"/>
  <c r="D69" i="2"/>
  <c r="D61" i="2"/>
  <c r="G60" i="2"/>
  <c r="J55" i="2"/>
  <c r="D57" i="2"/>
  <c r="J73" i="2"/>
  <c r="J68" i="2"/>
  <c r="D68" i="2"/>
  <c r="G61" i="2"/>
  <c r="D60" i="2"/>
  <c r="G57" i="2"/>
  <c r="D56" i="2"/>
  <c r="J53" i="2"/>
  <c r="J45" i="2"/>
  <c r="J62" i="2"/>
  <c r="J49" i="2"/>
  <c r="J44" i="2"/>
  <c r="J59" i="2"/>
  <c r="J48" i="2"/>
  <c r="J47" i="2"/>
  <c r="J58" i="2"/>
  <c r="J46" i="2"/>
  <c r="J42" i="2"/>
  <c r="J36" i="2"/>
  <c r="J27" i="2"/>
  <c r="J40" i="2"/>
  <c r="J35" i="2"/>
  <c r="J37" i="2"/>
  <c r="J39" i="2"/>
  <c r="J30" i="2"/>
  <c r="J29" i="2"/>
  <c r="J26" i="2"/>
  <c r="J18" i="2"/>
  <c r="J25" i="2"/>
  <c r="J17" i="2"/>
  <c r="J24" i="2"/>
  <c r="J15" i="2"/>
  <c r="J19" i="2"/>
  <c r="J14" i="2"/>
  <c r="J13" i="2"/>
  <c r="D47" i="2"/>
  <c r="J6" i="2"/>
  <c r="G45" i="2"/>
  <c r="G46" i="2"/>
  <c r="G44" i="2"/>
  <c r="G47" i="2"/>
  <c r="D44" i="2"/>
  <c r="G75" i="2"/>
  <c r="G73" i="2"/>
  <c r="G59" i="2"/>
  <c r="G62" i="2"/>
  <c r="G58" i="2"/>
  <c r="G42" i="2"/>
  <c r="G39" i="2"/>
  <c r="G30" i="2"/>
  <c r="G53" i="2"/>
  <c r="G37" i="2"/>
  <c r="G29" i="2"/>
  <c r="G49" i="2"/>
  <c r="G36" i="2"/>
  <c r="G27" i="2"/>
  <c r="G48" i="2"/>
  <c r="G40" i="2"/>
  <c r="G35" i="2"/>
  <c r="G6" i="2"/>
  <c r="G19" i="2"/>
  <c r="G14" i="2"/>
  <c r="G15" i="2"/>
  <c r="G26" i="2"/>
  <c r="G18" i="2"/>
  <c r="G13" i="2"/>
  <c r="G25" i="2"/>
  <c r="G17" i="2"/>
  <c r="G12" i="2"/>
  <c r="G24" i="2"/>
  <c r="D75" i="2"/>
  <c r="D73" i="2"/>
  <c r="D48" i="2"/>
  <c r="D59" i="2"/>
  <c r="D62" i="2"/>
  <c r="D58" i="2"/>
  <c r="D53" i="2"/>
  <c r="D49" i="2"/>
  <c r="D26" i="2"/>
  <c r="D42" i="2"/>
  <c r="D39" i="2"/>
  <c r="D30" i="2"/>
  <c r="D37" i="2"/>
  <c r="D40" i="2"/>
  <c r="D36" i="2"/>
  <c r="D27" i="2"/>
  <c r="D35" i="2"/>
  <c r="D29" i="2"/>
  <c r="D15" i="2"/>
  <c r="D25" i="2"/>
  <c r="D23" i="2"/>
  <c r="D12" i="2"/>
  <c r="D14" i="2"/>
  <c r="D24" i="2"/>
  <c r="D17" i="2"/>
  <c r="D6" i="2"/>
  <c r="D19" i="2"/>
  <c r="D13" i="2"/>
  <c r="D22" i="2"/>
  <c r="D18" i="2"/>
  <c r="G71" i="2" l="1"/>
  <c r="H71" i="2" s="1"/>
  <c r="K70" i="2"/>
  <c r="H70" i="2"/>
  <c r="J71" i="2"/>
  <c r="K71" i="2" s="1"/>
  <c r="H64" i="2"/>
  <c r="L64" i="2"/>
  <c r="E64" i="2"/>
  <c r="I66" i="2"/>
  <c r="K46" i="2"/>
  <c r="K47" i="2"/>
  <c r="E45" i="2"/>
  <c r="E46" i="2"/>
  <c r="H67" i="2"/>
  <c r="K64" i="2"/>
  <c r="K24" i="2"/>
  <c r="K66" i="2"/>
  <c r="J32" i="2"/>
  <c r="J33" i="2" s="1"/>
  <c r="L6" i="2"/>
  <c r="I6" i="2"/>
  <c r="H46" i="2"/>
  <c r="H45" i="2"/>
  <c r="E47" i="2"/>
  <c r="H47" i="2"/>
  <c r="H44" i="2"/>
  <c r="H26" i="2"/>
  <c r="K44" i="2"/>
  <c r="K26" i="2"/>
  <c r="E44" i="2"/>
  <c r="D54" i="2"/>
  <c r="E54" i="2" s="1"/>
  <c r="K40" i="2"/>
  <c r="H40" i="2"/>
  <c r="E26" i="2"/>
  <c r="E40" i="2"/>
  <c r="K27" i="2"/>
  <c r="K61" i="2"/>
  <c r="I56" i="2"/>
  <c r="I39" i="2"/>
  <c r="I57" i="2"/>
  <c r="L39" i="2"/>
  <c r="I55" i="2"/>
  <c r="L55" i="2"/>
  <c r="L57" i="2"/>
  <c r="L56" i="2"/>
  <c r="J54" i="2"/>
  <c r="K54" i="2" s="1"/>
  <c r="K45" i="2"/>
  <c r="K57" i="2"/>
  <c r="K36" i="2"/>
  <c r="K56" i="2"/>
  <c r="E30" i="2"/>
  <c r="K35" i="2"/>
  <c r="L66" i="2"/>
  <c r="E56" i="2"/>
  <c r="E67" i="2"/>
  <c r="E58" i="2"/>
  <c r="E36" i="2"/>
  <c r="E37" i="2"/>
  <c r="E48" i="2"/>
  <c r="E59" i="2"/>
  <c r="I24" i="2"/>
  <c r="E53" i="2"/>
  <c r="E66" i="2"/>
  <c r="K62" i="2"/>
  <c r="H56" i="2"/>
  <c r="K39" i="2"/>
  <c r="E62" i="2"/>
  <c r="E42" i="2"/>
  <c r="K30" i="2"/>
  <c r="K58" i="2"/>
  <c r="K53" i="2"/>
  <c r="G54" i="2"/>
  <c r="K29" i="2"/>
  <c r="K42" i="2"/>
  <c r="E55" i="2"/>
  <c r="H53" i="2"/>
  <c r="E60" i="2"/>
  <c r="E49" i="2"/>
  <c r="E24" i="2"/>
  <c r="K59" i="2"/>
  <c r="K49" i="2"/>
  <c r="K37" i="2"/>
  <c r="K60" i="2"/>
  <c r="L29" i="2"/>
  <c r="E27" i="2"/>
  <c r="E61" i="2"/>
  <c r="E69" i="2"/>
  <c r="E39" i="2"/>
  <c r="E35" i="2"/>
  <c r="K48" i="2"/>
  <c r="D32" i="2"/>
  <c r="E29" i="2"/>
  <c r="K67" i="2"/>
  <c r="L24" i="2"/>
  <c r="I29" i="2"/>
  <c r="E57" i="2"/>
  <c r="E25" i="2"/>
  <c r="K55" i="2"/>
  <c r="I27" i="2"/>
  <c r="H27" i="2"/>
  <c r="I30" i="2"/>
  <c r="L30" i="2"/>
  <c r="G32" i="2"/>
  <c r="G33" i="2" s="1"/>
  <c r="H30" i="2"/>
  <c r="K68" i="2"/>
  <c r="K69" i="2"/>
  <c r="H62" i="2"/>
  <c r="H59" i="2"/>
  <c r="H48" i="2"/>
  <c r="H37" i="2"/>
  <c r="H58" i="2"/>
  <c r="H68" i="2"/>
  <c r="H35" i="2"/>
  <c r="H39" i="2"/>
  <c r="H60" i="2"/>
  <c r="H25" i="2"/>
  <c r="I25" i="2"/>
  <c r="E68" i="2"/>
  <c r="L25" i="2"/>
  <c r="K25" i="2"/>
  <c r="H66" i="2"/>
  <c r="H69" i="2"/>
  <c r="H61" i="2"/>
  <c r="L27" i="2"/>
  <c r="H55" i="2"/>
  <c r="H42" i="2"/>
  <c r="H29" i="2"/>
  <c r="H36" i="2"/>
  <c r="H24" i="2"/>
  <c r="H49" i="2"/>
  <c r="H57" i="2"/>
  <c r="N70" i="2" l="1"/>
  <c r="J10" i="2"/>
  <c r="G10" i="2"/>
  <c r="N67" i="2"/>
  <c r="N24" i="2"/>
  <c r="O24" i="2"/>
  <c r="D10" i="2"/>
  <c r="K32" i="2"/>
  <c r="L54" i="2"/>
  <c r="H54" i="2"/>
  <c r="I54" i="2"/>
  <c r="O27" i="2"/>
  <c r="E32" i="2"/>
  <c r="D33" i="2"/>
  <c r="E33" i="2" s="1"/>
  <c r="H33" i="2"/>
  <c r="N29" i="2"/>
  <c r="N27" i="2"/>
  <c r="N25" i="2"/>
  <c r="O25" i="2"/>
  <c r="N69" i="2"/>
  <c r="N68" i="2"/>
  <c r="O68" i="2"/>
  <c r="O67" i="2"/>
  <c r="N30" i="2"/>
  <c r="O30" i="2"/>
  <c r="I32" i="2"/>
  <c r="H32" i="2"/>
  <c r="L32" i="2"/>
  <c r="O29" i="2"/>
  <c r="O70" i="2"/>
  <c r="O69" i="2"/>
  <c r="L10" i="2" l="1"/>
  <c r="I10" i="2"/>
  <c r="K33" i="2"/>
  <c r="N32" i="2"/>
  <c r="O32" i="2"/>
</calcChain>
</file>

<file path=xl/sharedStrings.xml><?xml version="1.0" encoding="utf-8"?>
<sst xmlns="http://schemas.openxmlformats.org/spreadsheetml/2006/main" count="614" uniqueCount="417">
  <si>
    <t>Kunta</t>
  </si>
  <si>
    <t>Asukasluku</t>
  </si>
  <si>
    <t>Alajärvi</t>
  </si>
  <si>
    <t>Alavieska</t>
  </si>
  <si>
    <t>Alavus</t>
  </si>
  <si>
    <t>Asikkala</t>
  </si>
  <si>
    <t>Askola</t>
  </si>
  <si>
    <t>Aura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</si>
  <si>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</si>
  <si>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</si>
  <si>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</si>
  <si>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</si>
  <si>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</si>
  <si>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</si>
  <si>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</si>
  <si>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</si>
  <si>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</si>
  <si>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</si>
  <si>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</si>
  <si>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</si>
  <si>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</si>
  <si>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</si>
  <si>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</si>
  <si>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</si>
  <si>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</si>
  <si>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</si>
  <si>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</si>
  <si>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</si>
  <si>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</si>
  <si>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</si>
  <si>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</si>
  <si>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</si>
  <si>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</si>
  <si>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</si>
  <si>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</si>
  <si>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</si>
  <si>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</si>
  <si>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</si>
  <si>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</si>
  <si>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</si>
  <si>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</si>
  <si>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</si>
  <si>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</si>
  <si>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</si>
  <si>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</si>
  <si>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</si>
  <si>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</si>
  <si>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</si>
  <si>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</si>
  <si>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</si>
  <si>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</si>
  <si>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</si>
  <si>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</si>
  <si>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</si>
  <si>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</si>
  <si>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</si>
  <si>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</si>
  <si>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</si>
  <si>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</si>
  <si>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</si>
  <si>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</si>
  <si>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</si>
  <si>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</si>
  <si>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</si>
  <si>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</si>
  <si>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</si>
  <si>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</si>
  <si>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</si>
  <si>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</si>
  <si>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</si>
  <si>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</si>
  <si>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</si>
  <si>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</si>
  <si>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</si>
  <si>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</si>
  <si>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</si>
  <si>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</si>
  <si>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</si>
  <si>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</si>
  <si>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</si>
  <si>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</si>
  <si>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</si>
  <si>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</si>
  <si>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</si>
  <si>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</si>
  <si>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</si>
  <si>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</si>
  <si>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</si>
  <si>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</si>
  <si>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</si>
  <si>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</si>
  <si>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</si>
  <si>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</si>
  <si>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</si>
  <si>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</si>
  <si>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</si>
  <si>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</si>
  <si>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</si>
  <si>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</si>
  <si>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</si>
  <si>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</si>
  <si>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</si>
  <si>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</si>
  <si>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</si>
  <si>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</si>
  <si>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</si>
  <si>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</si>
  <si>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</si>
  <si>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</si>
  <si>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</si>
  <si>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</si>
  <si>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</si>
  <si>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</si>
  <si>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</si>
  <si>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Kemijärvi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</si>
  <si>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</si>
  <si>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</si>
  <si>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</si>
  <si>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</si>
  <si>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</si>
  <si>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</si>
  <si>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</si>
  <si>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</si>
  <si>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</si>
  <si>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</si>
  <si>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</si>
  <si>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</si>
  <si>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</si>
  <si>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</si>
  <si>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</si>
  <si>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</si>
  <si>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</si>
  <si>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</si>
  <si>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</si>
  <si>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</si>
  <si>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</si>
  <si>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</si>
  <si>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</si>
  <si>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</si>
  <si>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Lohja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</si>
  <si>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</si>
  <si>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</si>
  <si>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</si>
  <si>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</si>
  <si>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</si>
  <si>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</si>
  <si>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</si>
  <si>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</si>
  <si>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</si>
  <si>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</si>
  <si>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</si>
  <si>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</si>
  <si>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</si>
  <si>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</si>
  <si>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</si>
  <si>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</si>
  <si>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</si>
  <si>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</si>
  <si>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</si>
  <si>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</si>
  <si>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</si>
  <si>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</si>
  <si>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</si>
  <si>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</si>
  <si>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</si>
  <si>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</si>
  <si>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</si>
  <si>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</si>
  <si>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</si>
  <si>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</si>
  <si>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</si>
  <si>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</si>
  <si>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</si>
  <si>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</si>
  <si>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</si>
  <si>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</si>
  <si>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</si>
  <si>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</si>
  <si>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</si>
  <si>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</si>
  <si>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</si>
  <si>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</si>
  <si>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</si>
  <si>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</si>
  <si>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</si>
  <si>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</si>
  <si>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</si>
  <si>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</si>
  <si>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</si>
  <si>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</si>
  <si>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</si>
  <si>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</si>
  <si>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</si>
  <si>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</si>
  <si>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</si>
  <si>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</si>
  <si>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</si>
  <si>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</si>
  <si>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</si>
  <si>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</si>
  <si>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</si>
  <si>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</si>
  <si>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</si>
  <si>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</si>
  <si>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</si>
  <si>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</si>
  <si>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</si>
  <si>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</si>
  <si>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</si>
  <si>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</si>
  <si>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</si>
  <si>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</si>
  <si>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</si>
  <si>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</si>
  <si>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</si>
  <si>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</si>
  <si>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</si>
  <si>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</si>
  <si>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</si>
  <si>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</si>
  <si>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</si>
  <si>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</si>
  <si>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</si>
  <si>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</si>
  <si>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</si>
  <si>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</si>
  <si>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</si>
  <si>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</si>
  <si>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</si>
  <si>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</si>
  <si>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</si>
  <si>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</si>
  <si>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</si>
  <si>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</si>
  <si>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</si>
  <si>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</si>
  <si>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</si>
  <si>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</si>
  <si>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</si>
  <si>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</si>
  <si>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</si>
  <si>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</si>
  <si>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</si>
  <si>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</si>
  <si>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</si>
  <si>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</si>
  <si>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</si>
  <si>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</si>
  <si>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</si>
  <si>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</si>
  <si>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</si>
  <si>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</si>
  <si>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</si>
  <si>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</si>
  <si>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</si>
  <si>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</si>
  <si>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</si>
  <si>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</si>
  <si>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</si>
  <si>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</si>
  <si>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</si>
  <si>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</si>
  <si>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</si>
  <si>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</si>
  <si>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</si>
  <si>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</si>
  <si>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</si>
  <si>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</si>
  <si>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</si>
  <si>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</si>
  <si>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</si>
  <si>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</si>
  <si>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</si>
  <si>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</si>
  <si>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</si>
  <si>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</si>
  <si>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</si>
  <si>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</si>
  <si>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</si>
  <si>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</si>
  <si>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Ylitornio</t>
  </si>
  <si>
    <t>Ylivieska</t>
  </si>
  <si>
    <t>Ylöjärvi</t>
  </si>
  <si>
    <t>Ypäjä</t>
  </si>
  <si>
    <t>Ähtäri</t>
  </si>
  <si>
    <t>Äänekoski</t>
  </si>
  <si>
    <t>Alv-takaisinperintä</t>
  </si>
  <si>
    <t>Toimintatuotot</t>
  </si>
  <si>
    <t>Toimintakulut</t>
  </si>
  <si>
    <t>Toimintakate</t>
  </si>
  <si>
    <t>Verotulot</t>
  </si>
  <si>
    <t>Valtionosuudet</t>
  </si>
  <si>
    <t>Käyttökate</t>
  </si>
  <si>
    <t>Vuosikate</t>
  </si>
  <si>
    <t>Tilikauden tulos</t>
  </si>
  <si>
    <t>Tilikauden yli- tai alijäämä</t>
  </si>
  <si>
    <t>Tuloslaskelma</t>
  </si>
  <si>
    <t>Rahoituslaskelma</t>
  </si>
  <si>
    <t>Pitkäaikaisten lainojen vähennys</t>
  </si>
  <si>
    <t>Investoinnit, netto</t>
  </si>
  <si>
    <t>Muut rahoituskulut/-tuotot, netto</t>
  </si>
  <si>
    <t>Korkotuotot/-menot, netto</t>
  </si>
  <si>
    <t>Kassan riittävyys, pv</t>
  </si>
  <si>
    <t>Lainanhoitokate</t>
  </si>
  <si>
    <t>Suhteellinen velkaantuneisuus-%</t>
  </si>
  <si>
    <t>Suunnitelman mukaiset poistot</t>
  </si>
  <si>
    <t>Tunnuslukuja</t>
  </si>
  <si>
    <t>Satunnaiset kulut</t>
  </si>
  <si>
    <t xml:space="preserve"> </t>
  </si>
  <si>
    <t>Kunnallisvero</t>
  </si>
  <si>
    <t>Kiinteistövero</t>
  </si>
  <si>
    <t>Sijoitus vuosikatteen mukaan</t>
  </si>
  <si>
    <t>Tuloveroprosentti</t>
  </si>
  <si>
    <t>Osuus yhteisöveron tuotosta</t>
  </si>
  <si>
    <t>Pedersören kunta</t>
  </si>
  <si>
    <t>Lainat, euro/as</t>
  </si>
  <si>
    <t>Rahoitusvarallisuus, euro/as</t>
  </si>
  <si>
    <t>Kassastamaksut, euro/as</t>
  </si>
  <si>
    <t>euro/as</t>
  </si>
  <si>
    <t>Lainat e/asukas</t>
  </si>
  <si>
    <t>Henkilöstökulut</t>
  </si>
  <si>
    <t>Suunnitelman mukaiset poistot ja arvonalen.</t>
  </si>
  <si>
    <t>Valitse kunta valikosta:</t>
  </si>
  <si>
    <t>Suunnitelman mukaiset poistot ja arvonalet</t>
  </si>
  <si>
    <t>Omavaraisuusaste, %</t>
  </si>
  <si>
    <t>Kassasta maksut, €/as</t>
  </si>
  <si>
    <t>Lähde: Tilastokeskus</t>
  </si>
  <si>
    <t>Toiminnan ja investointien rahavirta</t>
  </si>
  <si>
    <t>Yhden veroprosentin tuotto 2006</t>
  </si>
  <si>
    <t>Akaa</t>
  </si>
  <si>
    <t>Valtionosuudet,</t>
  </si>
  <si>
    <t xml:space="preserve"> - Investointimenot</t>
  </si>
  <si>
    <t xml:space="preserve"> + Rahoitusosuudet investointimenoihin</t>
  </si>
  <si>
    <t xml:space="preserve"> + Investointihyödykkeiden luovutustulot</t>
  </si>
  <si>
    <t>Pitkäaikaisten lainojen lisäys</t>
  </si>
  <si>
    <t xml:space="preserve"> ± Lyhytaikaisten lainojen muutos</t>
  </si>
  <si>
    <t>muut.%</t>
  </si>
  <si>
    <t>Lainakanta</t>
  </si>
  <si>
    <t>josta pitkäaikainen laina</t>
  </si>
  <si>
    <t>josta lyhytaikainen laina</t>
  </si>
  <si>
    <t>Lainakanta,</t>
  </si>
  <si>
    <t>Lainasaamiset</t>
  </si>
  <si>
    <t>josta pitkäaik</t>
  </si>
  <si>
    <t>Rahoitusvarallisuus, e/as</t>
  </si>
  <si>
    <t>Kunta nro</t>
  </si>
  <si>
    <t>Kumulat yli/alij</t>
  </si>
  <si>
    <t>Muut rahoitustuotot/-menot, netto (sis Osinkotuotot)</t>
  </si>
  <si>
    <t>Saamisten muutos (ent Pitkäaikaisten saamisten muutokset, netto)</t>
  </si>
  <si>
    <t>Toim ja inv rahavirta</t>
  </si>
  <si>
    <t>josta lyhytaik</t>
  </si>
  <si>
    <t>Rahavarat e/as</t>
  </si>
  <si>
    <t>Tulorah (toiminnan rahavirta)</t>
  </si>
  <si>
    <t>Saamisten muutos</t>
  </si>
  <si>
    <t>Rahavarat, euro/as</t>
  </si>
  <si>
    <t>Sijoitus vuosikatteen (euro/as) mukaan</t>
  </si>
  <si>
    <t>Verorahoitus</t>
  </si>
  <si>
    <t>Kemiönsaari</t>
  </si>
  <si>
    <t>Mänttä-Vilppula</t>
  </si>
  <si>
    <t>Raasepori</t>
  </si>
  <si>
    <t>Sastamala</t>
  </si>
  <si>
    <t>Siikalatva</t>
  </si>
  <si>
    <t xml:space="preserve">Rahoitusvarallisuus = ((saamiset + rahoitusarvopaperit + rahat ja pankkisaamiset) - (vieras pääoma - saadut ennakot)) </t>
  </si>
  <si>
    <t>Erillistiedot</t>
  </si>
  <si>
    <t>hakee muualta</t>
  </si>
  <si>
    <t>summana</t>
  </si>
  <si>
    <t>kaavasta</t>
  </si>
  <si>
    <t>vanha</t>
  </si>
  <si>
    <t>Kristiinankaupunki</t>
  </si>
  <si>
    <t>Toimintatuotot, sis. valmistus omaan käyt.</t>
  </si>
  <si>
    <t>€/as</t>
  </si>
  <si>
    <t>Vöyri</t>
  </si>
  <si>
    <t>KOKO MAA (Manner-Suomi)</t>
  </si>
  <si>
    <t>Parainen</t>
  </si>
  <si>
    <t>Satu. kulut</t>
  </si>
  <si>
    <t xml:space="preserve"> + Rahoitusos. investointimenoihin</t>
  </si>
  <si>
    <t xml:space="preserve"> + Investointihyödykk. luovutustulot</t>
  </si>
  <si>
    <t xml:space="preserve">Asukasluku </t>
  </si>
  <si>
    <t>Tuloveroprosentti 2015</t>
  </si>
  <si>
    <t>Osuus osakkuusyhteisojen voitosta/tappiosta</t>
  </si>
  <si>
    <t>Osuus osakkuusyhteisöjen voitosta/tappiosta</t>
  </si>
  <si>
    <t>Satunnaiset erät</t>
  </si>
  <si>
    <t>Vähemmistöosuudet</t>
  </si>
  <si>
    <t>Tilikauden yli-/alijäämä</t>
  </si>
  <si>
    <t>Toiminnan rahavirta</t>
  </si>
  <si>
    <t>Satu. erät, netto</t>
  </si>
  <si>
    <t>Tilinpäätössiirrot</t>
  </si>
  <si>
    <t>Suhteellinen velkaantuneisuus, %</t>
  </si>
  <si>
    <t>Tilikauden verot</t>
  </si>
  <si>
    <t>Laskennalliset verot</t>
  </si>
  <si>
    <t>Lask. Verot</t>
  </si>
  <si>
    <t>Lask. verot</t>
  </si>
  <si>
    <t>Yhden veroprosentin tuotto 2016</t>
  </si>
  <si>
    <t>Yhden veroprosentin tuotto 2015</t>
  </si>
  <si>
    <t>Satu. erät</t>
  </si>
  <si>
    <t xml:space="preserve">Saamisten muutos </t>
  </si>
  <si>
    <r>
      <t>Lainanhoitokate</t>
    </r>
    <r>
      <rPr>
        <b/>
        <sz val="12"/>
        <rFont val="Arial"/>
        <family val="2"/>
      </rPr>
      <t>*</t>
    </r>
  </si>
  <si>
    <r>
      <rPr>
        <b/>
        <sz val="8"/>
        <rFont val="Arial"/>
        <family val="2"/>
      </rPr>
      <t>*</t>
    </r>
    <r>
      <rPr>
        <sz val="8"/>
        <rFont val="Arial"/>
        <family val="2"/>
      </rPr>
      <t xml:space="preserve"> Ei tietoa kertalyhenteisistä lainoista</t>
    </r>
  </si>
  <si>
    <t>Takaukset muiden puolesta (jäljellä oleva pääoma)</t>
  </si>
  <si>
    <t xml:space="preserve"> Takaukset muiden puolesta (jäljellä oleva po)</t>
  </si>
  <si>
    <t>-</t>
  </si>
  <si>
    <t xml:space="preserve">Taseen kertynyt yli-/alijäämä </t>
  </si>
  <si>
    <t>2018 - 2019</t>
  </si>
  <si>
    <t>Vuokravastuut</t>
  </si>
  <si>
    <t>Lainat ja vuokravastuut</t>
  </si>
  <si>
    <t>Palvelujen ostot 2018</t>
  </si>
  <si>
    <t>Palvelujen ostot 2019</t>
  </si>
  <si>
    <t>Palvelujen ostot 2020</t>
  </si>
  <si>
    <t>Harkvar2018</t>
  </si>
  <si>
    <t>Harkvar2019</t>
  </si>
  <si>
    <t>Harkvar2020</t>
  </si>
  <si>
    <t>KUNTAKONSERNIEN TP 2018 - 2020 (lyhennetty kaava)</t>
  </si>
  <si>
    <t>Kunnat vuoden 2020 kuntajaolla</t>
  </si>
  <si>
    <t>2019 - 2020</t>
  </si>
  <si>
    <t>Tilikauden yli- tai alij.</t>
  </si>
  <si>
    <t>Tuloveroprosentti 2019</t>
  </si>
  <si>
    <t>Tuloveroprosentti 2020</t>
  </si>
  <si>
    <t>Valtiovarainministeriö/Kunta- ja aluehallinto-osasto,1.6.2021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</si>
</sst>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000"/>
    <numFmt numFmtId="165" formatCode="0.000"/>
    <numFmt numFmtId="166" formatCode="0.0"/>
    <numFmt numFmtId="167" formatCode="#,##0.0"/>
    <numFmt numFmtId="168" formatCode="#,##0.000"/>
    <numFmt numFmtId="169" formatCode="#,##0\ [$€-1]"/>
    <numFmt numFmtId="170" formatCode="\$#,##0\ ;\(\$#,##0\)"/>
    <numFmt numFmtId="171" formatCode="#,##0_ ;[Red]\-#,##0\ "/>
    <numFmt numFmtId="172" formatCode="[$€]#,##0.00_);[Red]\([$€]#,##0.00\)"/>
    <numFmt numFmtId="173" formatCode="#,##0.0_ ;[Red]\-#,##0.0\ "/>
    <numFmt numFmtId="174" formatCode="0.0_ ;[Red]\-0.0\ "/>
    <numFmt numFmtId="175" formatCode="0_ ;[Red]\-0\ "/>
  </numFmts>
  <fonts count="3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Courier"/>
      <family val="3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.5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i/>
      <sz val="8"/>
      <color theme="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i/>
      <sz val="10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1">
    <xf numFmtId="0" fontId="0" fillId="0" borderId="0"/>
    <xf numFmtId="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2" fontId="11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/>
    <xf numFmtId="0" fontId="8" fillId="0" borderId="1" applyNumberFormat="0" applyFont="0" applyFill="0" applyAlignment="0" applyProtection="0"/>
    <xf numFmtId="0" fontId="21" fillId="0" borderId="0"/>
  </cellStyleXfs>
  <cellXfs count="27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6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/>
    <xf numFmtId="3" fontId="4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/>
    </xf>
    <xf numFmtId="1" fontId="0" fillId="0" borderId="0" xfId="0" applyNumberFormat="1"/>
    <xf numFmtId="3" fontId="0" fillId="0" borderId="0" xfId="0" applyNumberFormat="1"/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1" fillId="0" borderId="4" xfId="0" applyFont="1" applyBorder="1"/>
    <xf numFmtId="3" fontId="1" fillId="0" borderId="0" xfId="0" applyNumberFormat="1" applyFont="1"/>
    <xf numFmtId="0" fontId="4" fillId="0" borderId="7" xfId="0" applyFont="1" applyBorder="1" applyAlignment="1">
      <alignment horizontal="right"/>
    </xf>
    <xf numFmtId="3" fontId="4" fillId="0" borderId="0" xfId="0" applyNumberFormat="1" applyFont="1"/>
    <xf numFmtId="0" fontId="0" fillId="0" borderId="2" xfId="0" applyBorder="1"/>
    <xf numFmtId="0" fontId="0" fillId="0" borderId="0" xfId="0" applyBorder="1"/>
    <xf numFmtId="0" fontId="4" fillId="0" borderId="9" xfId="0" applyFont="1" applyBorder="1"/>
    <xf numFmtId="0" fontId="5" fillId="0" borderId="2" xfId="0" applyFont="1" applyBorder="1"/>
    <xf numFmtId="0" fontId="5" fillId="0" borderId="0" xfId="0" applyFont="1" applyBorder="1"/>
    <xf numFmtId="4" fontId="4" fillId="0" borderId="7" xfId="0" applyNumberFormat="1" applyFont="1" applyBorder="1" applyAlignment="1">
      <alignment horizontal="right"/>
    </xf>
    <xf numFmtId="0" fontId="5" fillId="0" borderId="3" xfId="0" applyFont="1" applyBorder="1"/>
    <xf numFmtId="0" fontId="5" fillId="0" borderId="5" xfId="0" applyFont="1" applyBorder="1"/>
    <xf numFmtId="4" fontId="4" fillId="0" borderId="8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5" fillId="0" borderId="4" xfId="0" applyFont="1" applyBorder="1"/>
    <xf numFmtId="3" fontId="5" fillId="0" borderId="5" xfId="0" applyNumberFormat="1" applyFont="1" applyBorder="1" applyAlignment="1">
      <alignment horizontal="right"/>
    </xf>
    <xf numFmtId="0" fontId="6" fillId="0" borderId="0" xfId="0" applyFont="1" applyBorder="1"/>
    <xf numFmtId="0" fontId="0" fillId="0" borderId="5" xfId="0" applyBorder="1"/>
    <xf numFmtId="3" fontId="4" fillId="0" borderId="4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3" fillId="0" borderId="7" xfId="0" applyFont="1" applyBorder="1"/>
    <xf numFmtId="3" fontId="4" fillId="0" borderId="9" xfId="0" applyNumberFormat="1" applyFont="1" applyBorder="1" applyAlignment="1">
      <alignment horizontal="right"/>
    </xf>
    <xf numFmtId="0" fontId="2" fillId="0" borderId="4" xfId="0" applyFont="1" applyBorder="1"/>
    <xf numFmtId="0" fontId="2" fillId="0" borderId="0" xfId="0" applyFont="1" applyBorder="1"/>
    <xf numFmtId="3" fontId="5" fillId="0" borderId="0" xfId="0" applyNumberFormat="1" applyFont="1"/>
    <xf numFmtId="169" fontId="1" fillId="0" borderId="4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 horizontal="right"/>
    </xf>
    <xf numFmtId="0" fontId="5" fillId="0" borderId="9" xfId="0" applyFont="1" applyBorder="1"/>
    <xf numFmtId="1" fontId="4" fillId="0" borderId="0" xfId="8" applyNumberFormat="1" applyFont="1" applyAlignment="1" applyProtection="1">
      <alignment horizontal="right"/>
      <protection locked="0"/>
    </xf>
    <xf numFmtId="1" fontId="4" fillId="0" borderId="0" xfId="0" applyNumberFormat="1" applyFont="1"/>
    <xf numFmtId="0" fontId="3" fillId="0" borderId="7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7" xfId="0" applyFill="1" applyBorder="1"/>
    <xf numFmtId="0" fontId="0" fillId="2" borderId="8" xfId="0" applyFill="1" applyBorder="1"/>
    <xf numFmtId="0" fontId="12" fillId="0" borderId="0" xfId="0" applyFont="1"/>
    <xf numFmtId="0" fontId="12" fillId="0" borderId="6" xfId="0" applyFont="1" applyBorder="1"/>
    <xf numFmtId="0" fontId="12" fillId="0" borderId="7" xfId="0" applyFont="1" applyBorder="1"/>
    <xf numFmtId="0" fontId="12" fillId="0" borderId="8" xfId="0" applyFont="1" applyBorder="1"/>
    <xf numFmtId="0" fontId="13" fillId="0" borderId="0" xfId="0" applyFont="1"/>
    <xf numFmtId="1" fontId="5" fillId="0" borderId="0" xfId="0" applyNumberFormat="1" applyFont="1"/>
    <xf numFmtId="0" fontId="12" fillId="0" borderId="0" xfId="0" applyFont="1" applyAlignment="1">
      <alignment horizontal="left"/>
    </xf>
    <xf numFmtId="168" fontId="5" fillId="0" borderId="0" xfId="0" applyNumberFormat="1" applyFont="1"/>
    <xf numFmtId="165" fontId="5" fillId="0" borderId="0" xfId="0" applyNumberFormat="1" applyFont="1"/>
    <xf numFmtId="168" fontId="4" fillId="0" borderId="0" xfId="0" applyNumberFormat="1" applyFont="1"/>
    <xf numFmtId="0" fontId="1" fillId="0" borderId="0" xfId="0" applyFont="1"/>
    <xf numFmtId="0" fontId="15" fillId="0" borderId="0" xfId="0" applyFont="1"/>
    <xf numFmtId="164" fontId="4" fillId="0" borderId="0" xfId="0" applyNumberFormat="1" applyFont="1"/>
    <xf numFmtId="173" fontId="4" fillId="0" borderId="0" xfId="0" applyNumberFormat="1" applyFont="1"/>
    <xf numFmtId="173" fontId="5" fillId="0" borderId="0" xfId="0" applyNumberFormat="1" applyFont="1"/>
    <xf numFmtId="173" fontId="5" fillId="0" borderId="5" xfId="0" applyNumberFormat="1" applyFont="1" applyBorder="1"/>
    <xf numFmtId="0" fontId="16" fillId="0" borderId="5" xfId="0" applyFont="1" applyBorder="1" applyAlignment="1">
      <alignment horizontal="right"/>
    </xf>
    <xf numFmtId="171" fontId="4" fillId="0" borderId="4" xfId="0" applyNumberFormat="1" applyFont="1" applyBorder="1" applyAlignment="1">
      <alignment horizontal="right"/>
    </xf>
    <xf numFmtId="171" fontId="4" fillId="0" borderId="0" xfId="0" applyNumberFormat="1" applyFont="1" applyBorder="1" applyAlignment="1">
      <alignment horizontal="right"/>
    </xf>
    <xf numFmtId="171" fontId="4" fillId="0" borderId="5" xfId="0" applyNumberFormat="1" applyFont="1" applyBorder="1" applyAlignment="1">
      <alignment horizontal="right"/>
    </xf>
    <xf numFmtId="171" fontId="5" fillId="0" borderId="4" xfId="0" applyNumberFormat="1" applyFont="1" applyBorder="1" applyAlignment="1">
      <alignment horizontal="right"/>
    </xf>
    <xf numFmtId="171" fontId="5" fillId="0" borderId="0" xfId="0" applyNumberFormat="1" applyFont="1" applyBorder="1" applyAlignment="1">
      <alignment horizontal="right"/>
    </xf>
    <xf numFmtId="171" fontId="5" fillId="0" borderId="5" xfId="0" applyNumberFormat="1" applyFont="1" applyBorder="1" applyAlignment="1">
      <alignment horizontal="right"/>
    </xf>
    <xf numFmtId="171" fontId="6" fillId="0" borderId="5" xfId="0" applyNumberFormat="1" applyFont="1" applyBorder="1" applyAlignment="1">
      <alignment horizontal="right"/>
    </xf>
    <xf numFmtId="171" fontId="4" fillId="0" borderId="0" xfId="0" applyNumberFormat="1" applyFont="1" applyBorder="1"/>
    <xf numFmtId="171" fontId="4" fillId="0" borderId="5" xfId="0" applyNumberFormat="1" applyFont="1" applyBorder="1"/>
    <xf numFmtId="171" fontId="4" fillId="0" borderId="6" xfId="0" applyNumberFormat="1" applyFont="1" applyBorder="1" applyAlignment="1">
      <alignment horizontal="right"/>
    </xf>
    <xf numFmtId="171" fontId="4" fillId="0" borderId="7" xfId="0" applyNumberFormat="1" applyFont="1" applyBorder="1"/>
    <xf numFmtId="171" fontId="4" fillId="0" borderId="8" xfId="0" applyNumberFormat="1" applyFont="1" applyBorder="1"/>
    <xf numFmtId="173" fontId="4" fillId="0" borderId="4" xfId="0" applyNumberFormat="1" applyFont="1" applyBorder="1" applyAlignment="1">
      <alignment horizontal="right"/>
    </xf>
    <xf numFmtId="173" fontId="4" fillId="0" borderId="0" xfId="0" applyNumberFormat="1" applyFont="1" applyBorder="1" applyAlignment="1">
      <alignment horizontal="right"/>
    </xf>
    <xf numFmtId="173" fontId="4" fillId="0" borderId="5" xfId="0" applyNumberFormat="1" applyFont="1" applyBorder="1" applyAlignment="1">
      <alignment horizontal="right"/>
    </xf>
    <xf numFmtId="171" fontId="0" fillId="0" borderId="5" xfId="0" applyNumberFormat="1" applyBorder="1"/>
    <xf numFmtId="2" fontId="4" fillId="0" borderId="0" xfId="0" applyNumberFormat="1" applyFont="1" applyFill="1" applyBorder="1" applyAlignment="1">
      <alignment horizontal="right"/>
    </xf>
    <xf numFmtId="0" fontId="6" fillId="0" borderId="4" xfId="0" applyFont="1" applyBorder="1"/>
    <xf numFmtId="171" fontId="6" fillId="0" borderId="4" xfId="0" applyNumberFormat="1" applyFont="1" applyBorder="1" applyAlignment="1">
      <alignment horizontal="right"/>
    </xf>
    <xf numFmtId="171" fontId="6" fillId="0" borderId="0" xfId="0" applyNumberFormat="1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12" fillId="0" borderId="4" xfId="0" applyFont="1" applyBorder="1" applyAlignment="1" applyProtection="1">
      <alignment horizontal="left"/>
      <protection locked="0"/>
    </xf>
    <xf numFmtId="0" fontId="0" fillId="0" borderId="5" xfId="0" applyBorder="1" applyAlignment="1">
      <alignment horizontal="right"/>
    </xf>
    <xf numFmtId="0" fontId="12" fillId="0" borderId="8" xfId="0" applyFont="1" applyBorder="1" applyAlignment="1">
      <alignment horizontal="right"/>
    </xf>
    <xf numFmtId="0" fontId="2" fillId="0" borderId="9" xfId="0" applyFont="1" applyBorder="1"/>
    <xf numFmtId="0" fontId="12" fillId="0" borderId="2" xfId="0" applyFont="1" applyBorder="1"/>
    <xf numFmtId="0" fontId="1" fillId="0" borderId="0" xfId="0" applyFont="1" applyBorder="1"/>
    <xf numFmtId="171" fontId="1" fillId="0" borderId="5" xfId="0" applyNumberFormat="1" applyFont="1" applyBorder="1"/>
    <xf numFmtId="0" fontId="4" fillId="0" borderId="0" xfId="0" applyFont="1" applyFill="1" applyBorder="1"/>
    <xf numFmtId="171" fontId="5" fillId="0" borderId="0" xfId="0" applyNumberFormat="1" applyFont="1"/>
    <xf numFmtId="167" fontId="5" fillId="0" borderId="5" xfId="0" applyNumberFormat="1" applyFont="1" applyBorder="1"/>
    <xf numFmtId="167" fontId="5" fillId="0" borderId="8" xfId="0" applyNumberFormat="1" applyFont="1" applyBorder="1"/>
    <xf numFmtId="0" fontId="4" fillId="0" borderId="0" xfId="0" applyFont="1" applyFill="1"/>
    <xf numFmtId="0" fontId="4" fillId="0" borderId="0" xfId="0" applyFont="1" applyFill="1" applyProtection="1">
      <protection locked="0"/>
    </xf>
    <xf numFmtId="0" fontId="5" fillId="0" borderId="0" xfId="0" applyFont="1" applyFill="1"/>
    <xf numFmtId="0" fontId="4" fillId="0" borderId="4" xfId="0" applyFont="1" applyFill="1" applyBorder="1"/>
    <xf numFmtId="0" fontId="0" fillId="0" borderId="0" xfId="0" applyFill="1"/>
    <xf numFmtId="0" fontId="0" fillId="0" borderId="5" xfId="0" applyFill="1" applyBorder="1" applyAlignment="1">
      <alignment horizontal="right"/>
    </xf>
    <xf numFmtId="0" fontId="12" fillId="0" borderId="0" xfId="0" applyFont="1" applyFill="1"/>
    <xf numFmtId="0" fontId="3" fillId="0" borderId="0" xfId="0" applyFont="1" applyFill="1"/>
    <xf numFmtId="3" fontId="4" fillId="0" borderId="0" xfId="0" applyNumberFormat="1" applyFont="1" applyFill="1" applyProtection="1">
      <protection locked="0"/>
    </xf>
    <xf numFmtId="3" fontId="4" fillId="0" borderId="0" xfId="0" applyNumberFormat="1" applyFont="1" applyFill="1"/>
    <xf numFmtId="3" fontId="4" fillId="0" borderId="0" xfId="0" applyNumberFormat="1" applyFont="1" applyFill="1" applyBorder="1"/>
    <xf numFmtId="0" fontId="6" fillId="0" borderId="0" xfId="0" applyFont="1" applyFill="1"/>
    <xf numFmtId="166" fontId="4" fillId="0" borderId="0" xfId="0" applyNumberFormat="1" applyFont="1" applyFill="1"/>
    <xf numFmtId="1" fontId="4" fillId="0" borderId="0" xfId="0" applyNumberFormat="1" applyFont="1" applyFill="1"/>
    <xf numFmtId="1" fontId="6" fillId="0" borderId="0" xfId="0" applyNumberFormat="1" applyFont="1" applyFill="1"/>
    <xf numFmtId="1" fontId="4" fillId="0" borderId="0" xfId="0" applyNumberFormat="1" applyFont="1" applyFill="1" applyBorder="1"/>
    <xf numFmtId="0" fontId="4" fillId="0" borderId="0" xfId="0" applyFont="1" applyFill="1" applyAlignment="1">
      <alignment horizontal="right"/>
    </xf>
    <xf numFmtId="0" fontId="4" fillId="3" borderId="0" xfId="0" applyFont="1" applyFill="1"/>
    <xf numFmtId="0" fontId="17" fillId="0" borderId="0" xfId="0" applyFont="1" applyFill="1"/>
    <xf numFmtId="0" fontId="18" fillId="0" borderId="0" xfId="0" applyFont="1" applyFill="1"/>
    <xf numFmtId="3" fontId="18" fillId="0" borderId="0" xfId="0" applyNumberFormat="1" applyFont="1" applyFill="1"/>
    <xf numFmtId="0" fontId="4" fillId="0" borderId="0" xfId="0" applyFont="1" applyFill="1" applyAlignment="1" applyProtection="1">
      <alignment horizontal="left"/>
      <protection locked="0"/>
    </xf>
    <xf numFmtId="0" fontId="12" fillId="0" borderId="0" xfId="0" applyFont="1" applyFill="1" applyBorder="1"/>
    <xf numFmtId="0" fontId="14" fillId="0" borderId="0" xfId="0" applyFont="1" applyFill="1"/>
    <xf numFmtId="167" fontId="1" fillId="0" borderId="0" xfId="0" applyNumberFormat="1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174" fontId="4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12" fillId="0" borderId="0" xfId="0" applyFont="1" applyAlignment="1">
      <alignment horizontal="center"/>
    </xf>
    <xf numFmtId="0" fontId="19" fillId="3" borderId="0" xfId="0" applyFont="1" applyFill="1" applyAlignment="1">
      <alignment horizontal="center"/>
    </xf>
    <xf numFmtId="0" fontId="6" fillId="0" borderId="0" xfId="0" applyFont="1" applyFill="1" applyBorder="1"/>
    <xf numFmtId="167" fontId="5" fillId="0" borderId="0" xfId="0" applyNumberFormat="1" applyFont="1"/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1" fontId="3" fillId="0" borderId="0" xfId="0" applyNumberFormat="1" applyFont="1"/>
    <xf numFmtId="0" fontId="2" fillId="0" borderId="4" xfId="0" applyFont="1" applyBorder="1" applyAlignment="1">
      <alignment horizontal="right"/>
    </xf>
    <xf numFmtId="0" fontId="5" fillId="4" borderId="0" xfId="0" applyFont="1" applyFill="1"/>
    <xf numFmtId="0" fontId="4" fillId="4" borderId="0" xfId="0" applyFont="1" applyFill="1"/>
    <xf numFmtId="171" fontId="4" fillId="0" borderId="0" xfId="0" applyNumberFormat="1" applyFont="1"/>
    <xf numFmtId="171" fontId="4" fillId="0" borderId="0" xfId="0" applyNumberFormat="1" applyFont="1" applyFill="1"/>
    <xf numFmtId="171" fontId="4" fillId="0" borderId="0" xfId="0" applyNumberFormat="1" applyFont="1" applyFill="1" applyProtection="1">
      <protection locked="0"/>
    </xf>
    <xf numFmtId="3" fontId="4" fillId="0" borderId="0" xfId="0" applyNumberFormat="1" applyFont="1" applyAlignment="1">
      <alignment horizontal="center"/>
    </xf>
    <xf numFmtId="0" fontId="0" fillId="0" borderId="0" xfId="0" quotePrefix="1"/>
    <xf numFmtId="0" fontId="15" fillId="0" borderId="9" xfId="0" applyFont="1" applyBorder="1"/>
    <xf numFmtId="171" fontId="1" fillId="0" borderId="0" xfId="0" applyNumberFormat="1" applyFont="1"/>
    <xf numFmtId="4" fontId="4" fillId="0" borderId="0" xfId="0" applyNumberFormat="1" applyFont="1"/>
    <xf numFmtId="0" fontId="20" fillId="0" borderId="6" xfId="0" applyFont="1" applyBorder="1"/>
    <xf numFmtId="0" fontId="15" fillId="0" borderId="0" xfId="0" applyFont="1" applyAlignment="1">
      <alignment horizontal="left"/>
    </xf>
    <xf numFmtId="171" fontId="0" fillId="0" borderId="0" xfId="0" applyNumberFormat="1"/>
    <xf numFmtId="3" fontId="3" fillId="0" borderId="0" xfId="0" applyNumberFormat="1" applyFont="1"/>
    <xf numFmtId="175" fontId="24" fillId="0" borderId="0" xfId="0" applyNumberFormat="1" applyFont="1" applyAlignment="1">
      <alignment horizontal="left"/>
    </xf>
    <xf numFmtId="175" fontId="22" fillId="0" borderId="10" xfId="10" applyNumberFormat="1" applyFont="1" applyFill="1" applyBorder="1" applyAlignment="1"/>
    <xf numFmtId="175" fontId="4" fillId="0" borderId="0" xfId="0" applyNumberFormat="1" applyFont="1"/>
    <xf numFmtId="0" fontId="25" fillId="0" borderId="4" xfId="0" applyFont="1" applyBorder="1"/>
    <xf numFmtId="0" fontId="26" fillId="0" borderId="0" xfId="0" applyFont="1" applyBorder="1"/>
    <xf numFmtId="0" fontId="26" fillId="0" borderId="5" xfId="0" applyFont="1" applyBorder="1" applyAlignment="1">
      <alignment horizontal="right"/>
    </xf>
    <xf numFmtId="171" fontId="26" fillId="0" borderId="4" xfId="0" applyNumberFormat="1" applyFont="1" applyBorder="1" applyAlignment="1">
      <alignment horizontal="right"/>
    </xf>
    <xf numFmtId="171" fontId="26" fillId="0" borderId="0" xfId="0" applyNumberFormat="1" applyFont="1" applyBorder="1" applyAlignment="1">
      <alignment horizontal="right"/>
    </xf>
    <xf numFmtId="171" fontId="27" fillId="0" borderId="5" xfId="0" applyNumberFormat="1" applyFont="1" applyBorder="1" applyAlignment="1">
      <alignment horizontal="right"/>
    </xf>
    <xf numFmtId="173" fontId="25" fillId="0" borderId="5" xfId="0" applyNumberFormat="1" applyFont="1" applyBorder="1"/>
    <xf numFmtId="3" fontId="25" fillId="0" borderId="0" xfId="0" applyNumberFormat="1" applyFont="1"/>
    <xf numFmtId="174" fontId="26" fillId="0" borderId="0" xfId="0" applyNumberFormat="1" applyFont="1" applyAlignment="1">
      <alignment horizontal="center"/>
    </xf>
    <xf numFmtId="0" fontId="25" fillId="0" borderId="0" xfId="0" applyFont="1"/>
    <xf numFmtId="171" fontId="25" fillId="0" borderId="0" xfId="0" applyNumberFormat="1" applyFont="1"/>
    <xf numFmtId="171" fontId="26" fillId="0" borderId="5" xfId="0" applyNumberFormat="1" applyFont="1" applyBorder="1" applyAlignment="1">
      <alignment horizontal="right"/>
    </xf>
    <xf numFmtId="174" fontId="26" fillId="0" borderId="0" xfId="0" applyNumberFormat="1" applyFont="1" applyAlignment="1">
      <alignment horizontal="left"/>
    </xf>
    <xf numFmtId="171" fontId="26" fillId="0" borderId="0" xfId="0" applyNumberFormat="1" applyFont="1"/>
    <xf numFmtId="0" fontId="26" fillId="0" borderId="0" xfId="0" applyFont="1"/>
    <xf numFmtId="0" fontId="27" fillId="0" borderId="0" xfId="0" applyFont="1"/>
    <xf numFmtId="3" fontId="26" fillId="0" borderId="0" xfId="0" applyNumberFormat="1" applyFont="1" applyBorder="1" applyAlignment="1">
      <alignment horizontal="right"/>
    </xf>
    <xf numFmtId="3" fontId="26" fillId="0" borderId="4" xfId="0" applyNumberFormat="1" applyFont="1" applyBorder="1" applyAlignment="1">
      <alignment horizontal="right"/>
    </xf>
    <xf numFmtId="174" fontId="25" fillId="0" borderId="5" xfId="0" applyNumberFormat="1" applyFont="1" applyBorder="1"/>
    <xf numFmtId="49" fontId="26" fillId="0" borderId="0" xfId="0" applyNumberFormat="1" applyFont="1" applyBorder="1"/>
    <xf numFmtId="0" fontId="26" fillId="0" borderId="5" xfId="0" applyFont="1" applyBorder="1"/>
    <xf numFmtId="3" fontId="26" fillId="0" borderId="0" xfId="0" applyNumberFormat="1" applyFont="1" applyBorder="1"/>
    <xf numFmtId="0" fontId="26" fillId="0" borderId="7" xfId="0" applyFont="1" applyBorder="1"/>
    <xf numFmtId="0" fontId="26" fillId="0" borderId="8" xfId="0" applyFont="1" applyBorder="1"/>
    <xf numFmtId="171" fontId="25" fillId="0" borderId="0" xfId="0" applyNumberFormat="1" applyFont="1" applyBorder="1" applyAlignment="1">
      <alignment horizontal="right"/>
    </xf>
    <xf numFmtId="0" fontId="28" fillId="0" borderId="5" xfId="0" applyFont="1" applyBorder="1"/>
    <xf numFmtId="175" fontId="4" fillId="0" borderId="4" xfId="0" applyNumberFormat="1" applyFont="1" applyBorder="1"/>
    <xf numFmtId="0" fontId="28" fillId="0" borderId="0" xfId="0" applyFont="1" applyBorder="1"/>
    <xf numFmtId="0" fontId="28" fillId="0" borderId="5" xfId="0" applyFont="1" applyBorder="1" applyAlignment="1">
      <alignment horizontal="right"/>
    </xf>
    <xf numFmtId="3" fontId="28" fillId="0" borderId="0" xfId="0" applyNumberFormat="1" applyFont="1"/>
    <xf numFmtId="0" fontId="28" fillId="0" borderId="0" xfId="0" applyFont="1" applyAlignment="1">
      <alignment horizontal="center"/>
    </xf>
    <xf numFmtId="0" fontId="28" fillId="0" borderId="0" xfId="0" applyFont="1"/>
    <xf numFmtId="0" fontId="29" fillId="0" borderId="0" xfId="0" applyFont="1" applyBorder="1"/>
    <xf numFmtId="0" fontId="29" fillId="0" borderId="5" xfId="0" applyFont="1" applyBorder="1" applyAlignment="1">
      <alignment horizontal="right"/>
    </xf>
    <xf numFmtId="171" fontId="30" fillId="0" borderId="5" xfId="0" applyNumberFormat="1" applyFont="1" applyBorder="1"/>
    <xf numFmtId="3" fontId="29" fillId="0" borderId="0" xfId="0" applyNumberFormat="1" applyFont="1"/>
    <xf numFmtId="0" fontId="29" fillId="0" borderId="0" xfId="0" applyFont="1"/>
    <xf numFmtId="171" fontId="29" fillId="0" borderId="0" xfId="0" applyNumberFormat="1" applyFont="1"/>
    <xf numFmtId="0" fontId="27" fillId="0" borderId="0" xfId="0" applyFont="1" applyBorder="1"/>
    <xf numFmtId="171" fontId="28" fillId="0" borderId="5" xfId="0" applyNumberFormat="1" applyFont="1" applyBorder="1"/>
    <xf numFmtId="1" fontId="28" fillId="0" borderId="0" xfId="0" applyNumberFormat="1" applyFont="1"/>
    <xf numFmtId="3" fontId="27" fillId="0" borderId="0" xfId="0" applyNumberFormat="1" applyFont="1"/>
    <xf numFmtId="0" fontId="31" fillId="0" borderId="0" xfId="0" applyFont="1" applyAlignment="1" applyProtection="1">
      <alignment horizontal="left"/>
    </xf>
    <xf numFmtId="0" fontId="32" fillId="0" borderId="0" xfId="0" applyFont="1" applyAlignment="1" applyProtection="1">
      <alignment horizontal="left"/>
    </xf>
    <xf numFmtId="2" fontId="6" fillId="0" borderId="0" xfId="0" applyNumberFormat="1" applyFont="1" applyFill="1"/>
    <xf numFmtId="175" fontId="24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173" fontId="5" fillId="0" borderId="5" xfId="0" applyNumberFormat="1" applyFont="1" applyBorder="1" applyAlignment="1">
      <alignment horizontal="right"/>
    </xf>
    <xf numFmtId="173" fontId="4" fillId="0" borderId="0" xfId="0" applyNumberFormat="1" applyFont="1" applyBorder="1"/>
    <xf numFmtId="173" fontId="4" fillId="0" borderId="5" xfId="0" applyNumberFormat="1" applyFont="1" applyBorder="1"/>
    <xf numFmtId="171" fontId="4" fillId="0" borderId="7" xfId="0" applyNumberFormat="1" applyFont="1" applyBorder="1" applyAlignment="1">
      <alignment horizontal="right"/>
    </xf>
    <xf numFmtId="0" fontId="3" fillId="0" borderId="5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26" fillId="0" borderId="6" xfId="0" applyFont="1" applyBorder="1"/>
    <xf numFmtId="166" fontId="25" fillId="0" borderId="8" xfId="0" applyNumberFormat="1" applyFont="1" applyBorder="1"/>
    <xf numFmtId="0" fontId="26" fillId="0" borderId="9" xfId="0" applyFont="1" applyBorder="1"/>
    <xf numFmtId="0" fontId="26" fillId="0" borderId="2" xfId="0" applyFont="1" applyBorder="1"/>
    <xf numFmtId="166" fontId="25" fillId="0" borderId="5" xfId="0" applyNumberFormat="1" applyFont="1" applyBorder="1"/>
    <xf numFmtId="169" fontId="33" fillId="0" borderId="4" xfId="0" applyNumberFormat="1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5" xfId="0" applyFont="1" applyBorder="1"/>
    <xf numFmtId="0" fontId="28" fillId="0" borderId="0" xfId="0" applyFont="1" applyBorder="1" applyAlignment="1">
      <alignment horizontal="right"/>
    </xf>
    <xf numFmtId="174" fontId="5" fillId="0" borderId="5" xfId="0" applyNumberFormat="1" applyFont="1" applyBorder="1"/>
    <xf numFmtId="174" fontId="3" fillId="0" borderId="5" xfId="0" applyNumberFormat="1" applyFont="1" applyBorder="1"/>
    <xf numFmtId="174" fontId="4" fillId="0" borderId="8" xfId="0" applyNumberFormat="1" applyFont="1" applyBorder="1"/>
    <xf numFmtId="171" fontId="6" fillId="0" borderId="4" xfId="0" applyNumberFormat="1" applyFont="1" applyBorder="1" applyAlignment="1">
      <alignment horizontal="left"/>
    </xf>
    <xf numFmtId="0" fontId="1" fillId="0" borderId="5" xfId="0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4" fontId="1" fillId="0" borderId="5" xfId="0" applyNumberFormat="1" applyFont="1" applyBorder="1" applyAlignment="1">
      <alignment vertical="center"/>
    </xf>
    <xf numFmtId="0" fontId="26" fillId="0" borderId="6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66" fontId="4" fillId="0" borderId="0" xfId="0" applyNumberFormat="1" applyFont="1" applyFill="1" applyBorder="1"/>
    <xf numFmtId="0" fontId="5" fillId="0" borderId="0" xfId="0" applyFont="1" applyFill="1" applyAlignment="1">
      <alignment horizontal="center"/>
    </xf>
    <xf numFmtId="4" fontId="35" fillId="0" borderId="12" xfId="10" applyNumberFormat="1" applyFont="1" applyFill="1" applyBorder="1" applyAlignment="1"/>
    <xf numFmtId="4" fontId="4" fillId="0" borderId="12" xfId="10" applyNumberFormat="1" applyFont="1" applyFill="1" applyBorder="1" applyAlignment="1"/>
    <xf numFmtId="173" fontId="34" fillId="0" borderId="11" xfId="10" applyNumberFormat="1" applyFont="1" applyFill="1" applyBorder="1" applyAlignment="1"/>
    <xf numFmtId="173" fontId="4" fillId="0" borderId="11" xfId="10" applyNumberFormat="1" applyFont="1" applyFill="1" applyBorder="1" applyAlignment="1"/>
    <xf numFmtId="173" fontId="4" fillId="0" borderId="11" xfId="0" applyNumberFormat="1" applyFont="1" applyFill="1" applyBorder="1"/>
    <xf numFmtId="173" fontId="34" fillId="0" borderId="0" xfId="10" applyNumberFormat="1" applyFont="1" applyFill="1" applyBorder="1" applyAlignment="1"/>
    <xf numFmtId="174" fontId="4" fillId="0" borderId="0" xfId="0" applyNumberFormat="1" applyFont="1" applyFill="1"/>
    <xf numFmtId="171" fontId="3" fillId="0" borderId="0" xfId="0" applyNumberFormat="1" applyFont="1" applyFill="1"/>
    <xf numFmtId="3" fontId="3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/>
    <xf numFmtId="4" fontId="4" fillId="0" borderId="0" xfId="0" applyNumberFormat="1" applyFont="1" applyFill="1" applyBorder="1" applyAlignment="1">
      <alignment horizontal="right"/>
    </xf>
    <xf numFmtId="4" fontId="4" fillId="0" borderId="0" xfId="4" applyNumberFormat="1" applyFont="1" applyFill="1" applyBorder="1" applyAlignment="1">
      <alignment horizontal="right"/>
    </xf>
    <xf numFmtId="3" fontId="4" fillId="4" borderId="0" xfId="0" applyNumberFormat="1" applyFont="1" applyFill="1"/>
    <xf numFmtId="167" fontId="34" fillId="0" borderId="11" xfId="10" applyNumberFormat="1" applyFont="1" applyFill="1" applyBorder="1" applyAlignment="1"/>
    <xf numFmtId="167" fontId="4" fillId="0" borderId="0" xfId="0" applyNumberFormat="1" applyFont="1" applyFill="1"/>
    <xf numFmtId="167" fontId="4" fillId="0" borderId="11" xfId="10" applyNumberFormat="1" applyFont="1" applyFill="1" applyBorder="1" applyAlignment="1"/>
    <xf numFmtId="167" fontId="4" fillId="0" borderId="11" xfId="0" applyNumberFormat="1" applyFont="1" applyFill="1" applyBorder="1"/>
    <xf numFmtId="167" fontId="34" fillId="0" borderId="0" xfId="10" applyNumberFormat="1" applyFont="1" applyFill="1" applyBorder="1" applyAlignment="1"/>
    <xf numFmtId="171" fontId="4" fillId="0" borderId="0" xfId="0" applyNumberFormat="1" applyFont="1" applyFill="1" applyBorder="1"/>
    <xf numFmtId="3" fontId="6" fillId="0" borderId="0" xfId="0" applyNumberFormat="1" applyFont="1" applyFill="1"/>
    <xf numFmtId="3" fontId="3" fillId="0" borderId="0" xfId="0" applyNumberFormat="1" applyFont="1" applyFill="1"/>
    <xf numFmtId="171" fontId="4" fillId="0" borderId="0" xfId="0" applyNumberFormat="1" applyFont="1" applyAlignment="1">
      <alignment horizontal="center"/>
    </xf>
    <xf numFmtId="3" fontId="4" fillId="0" borderId="0" xfId="0" applyNumberFormat="1" applyFont="1" applyFill="1" applyAlignment="1">
      <alignment horizontal="right"/>
    </xf>
    <xf numFmtId="0" fontId="5" fillId="2" borderId="7" xfId="0" applyFont="1" applyFill="1" applyBorder="1" applyAlignment="1">
      <alignment horizontal="right" vertical="center"/>
    </xf>
  </cellXfs>
  <cellStyles count="11">
    <cellStyle name="Comma0" xfId="1"/>
    <cellStyle name="Currency0" xfId="2"/>
    <cellStyle name="Date" xfId="3"/>
    <cellStyle name="Euro" xfId="4"/>
    <cellStyle name="Fixed" xfId="5"/>
    <cellStyle name="Heading 1" xfId="6"/>
    <cellStyle name="Heading 2" xfId="7"/>
    <cellStyle name="Normaali" xfId="0" builtinId="0"/>
    <cellStyle name="Normaali_Kuntakortti" xfId="8"/>
    <cellStyle name="Normaali_Taul3" xfId="10"/>
    <cellStyle name="Total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5" dropStyle="combo" dx="15" fmlaLink="$A$7" fmlaRange="Luvut!$B$3:$B$297" noThreeD="1" sel="96" val="95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0</xdr:row>
          <xdr:rowOff>76200</xdr:rowOff>
        </xdr:from>
        <xdr:to>
          <xdr:col>10</xdr:col>
          <xdr:colOff>488950</xdr:colOff>
          <xdr:row>1</xdr:row>
          <xdr:rowOff>285750</xdr:rowOff>
        </xdr:to>
        <xdr:sp macro="" textlink="">
          <xdr:nvSpPr>
            <xdr:cNvPr id="1050" name="Drop Dow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ul1"/>
  <dimension ref="A1:W90"/>
  <sheetViews>
    <sheetView tabSelected="1" workbookViewId="0">
      <pane ySplit="4" topLeftCell="A5" activePane="bottomLeft" state="frozen"/>
      <selection pane="bottomLeft" activeCell="P6" sqref="P6"/>
    </sheetView>
  </sheetViews>
  <sheetFormatPr defaultRowHeight="12.5" x14ac:dyDescent="0.25"/>
  <cols>
    <col min="1" max="1" width="14.453125" customWidth="1"/>
    <col min="2" max="2" width="10.54296875" customWidth="1"/>
    <col min="3" max="3" width="7.1796875" style="12" customWidth="1"/>
    <col min="4" max="4" width="9.54296875" bestFit="1" customWidth="1"/>
    <col min="5" max="5" width="8.54296875" customWidth="1"/>
    <col min="6" max="6" width="3.7265625" customWidth="1"/>
    <col min="7" max="7" width="10.81640625" customWidth="1"/>
    <col min="8" max="8" width="8.54296875" customWidth="1"/>
    <col min="9" max="9" width="7.7265625" customWidth="1"/>
    <col min="10" max="10" width="10.453125" bestFit="1" customWidth="1"/>
    <col min="11" max="11" width="8" customWidth="1"/>
    <col min="12" max="12" width="7.81640625" customWidth="1"/>
    <col min="13" max="13" width="11.453125" customWidth="1"/>
    <col min="14" max="14" width="12.1796875" style="141" customWidth="1"/>
    <col min="15" max="15" width="12.26953125" style="141" customWidth="1"/>
    <col min="16" max="16" width="11.81640625" customWidth="1"/>
    <col min="17" max="19" width="9.7265625" bestFit="1" customWidth="1"/>
    <col min="20" max="20" width="11.26953125" bestFit="1" customWidth="1"/>
    <col min="22" max="23" width="9.26953125" bestFit="1" customWidth="1"/>
  </cols>
  <sheetData>
    <row r="1" spans="1:17" x14ac:dyDescent="0.25">
      <c r="A1" s="164" t="s">
        <v>416</v>
      </c>
      <c r="B1" s="28"/>
      <c r="C1" s="61"/>
      <c r="D1" s="28"/>
      <c r="E1" s="109"/>
      <c r="F1" s="28"/>
      <c r="G1" s="62"/>
      <c r="H1" s="62"/>
      <c r="I1" s="62"/>
      <c r="J1" s="62"/>
      <c r="K1" s="62"/>
      <c r="L1" s="63"/>
    </row>
    <row r="2" spans="1:17" ht="25.5" customHeight="1" thickBot="1" x14ac:dyDescent="0.35">
      <c r="A2" s="167" t="s">
        <v>410</v>
      </c>
      <c r="B2" s="50"/>
      <c r="C2" s="60"/>
      <c r="D2" s="50"/>
      <c r="E2" s="50"/>
      <c r="F2" s="50"/>
      <c r="G2" s="278" t="s">
        <v>322</v>
      </c>
      <c r="H2" s="278"/>
      <c r="I2" s="64"/>
      <c r="J2" s="64"/>
      <c r="K2" s="64"/>
      <c r="L2" s="65"/>
      <c r="M2" s="76"/>
    </row>
    <row r="3" spans="1:17" s="3" customFormat="1" ht="10.5" x14ac:dyDescent="0.25">
      <c r="A3" s="57"/>
      <c r="B3" s="16"/>
      <c r="C3" s="17"/>
      <c r="D3" s="30"/>
      <c r="E3" s="31"/>
      <c r="F3" s="34"/>
      <c r="G3" s="16"/>
      <c r="H3" s="16" t="s">
        <v>308</v>
      </c>
      <c r="I3" s="19"/>
      <c r="J3" s="30"/>
      <c r="K3" s="16"/>
      <c r="L3" s="19"/>
      <c r="M3" s="4"/>
      <c r="N3" s="142"/>
      <c r="O3" s="142"/>
    </row>
    <row r="4" spans="1:17" s="3" customFormat="1" ht="15.5" x14ac:dyDescent="0.35">
      <c r="A4" s="24" t="str">
        <f>INDEX(Luvut!$B$3:'Luvut'!$B$297,$A$7)</f>
        <v>KOKO MAA (Manner-Suomi)</v>
      </c>
      <c r="B4" s="10"/>
      <c r="C4" s="13"/>
      <c r="D4" s="52">
        <v>2018</v>
      </c>
      <c r="E4" s="32"/>
      <c r="F4" s="35"/>
      <c r="G4" s="53">
        <v>2019</v>
      </c>
      <c r="H4" s="10"/>
      <c r="I4" s="21"/>
      <c r="J4" s="156">
        <v>2020</v>
      </c>
      <c r="K4" s="10"/>
      <c r="L4" s="21"/>
      <c r="M4" s="77"/>
      <c r="N4" s="168"/>
      <c r="O4" s="143"/>
    </row>
    <row r="5" spans="1:17" s="3" customFormat="1" ht="10.5" x14ac:dyDescent="0.25">
      <c r="A5" s="20"/>
      <c r="B5" s="10"/>
      <c r="C5" s="13"/>
      <c r="D5" s="20"/>
      <c r="E5" s="32"/>
      <c r="F5" s="35"/>
      <c r="G5" s="10"/>
      <c r="H5" s="10"/>
      <c r="I5" s="21"/>
      <c r="J5" s="20"/>
      <c r="K5" s="10"/>
      <c r="L5" s="21"/>
      <c r="N5" s="142"/>
      <c r="O5" s="142"/>
    </row>
    <row r="6" spans="1:17" s="3" customFormat="1" ht="10.5" x14ac:dyDescent="0.25">
      <c r="A6" s="20" t="s">
        <v>1</v>
      </c>
      <c r="B6" s="10"/>
      <c r="C6" s="10"/>
      <c r="D6" s="46">
        <f>VLOOKUP($A$4,Luvut!$B$3:$AV$297,2)</f>
        <v>5488130</v>
      </c>
      <c r="E6" s="10"/>
      <c r="F6" s="21"/>
      <c r="G6" s="11">
        <f>VLOOKUP($A$4,Luvut!$B$3:$EJ$297,48)</f>
        <v>5495408</v>
      </c>
      <c r="H6" s="175" t="s">
        <v>308</v>
      </c>
      <c r="I6" s="81">
        <f>((G6/D6)-1)*100</f>
        <v>0.13261347672157697</v>
      </c>
      <c r="J6" s="46">
        <f>VLOOKUP($A$4,Luvut!$B$3:$EJ$297,94)</f>
        <v>5503664</v>
      </c>
      <c r="K6" s="175" t="s">
        <v>308</v>
      </c>
      <c r="L6" s="237">
        <f>((J6/G6)-1)*100</f>
        <v>0.15023452307818541</v>
      </c>
      <c r="M6" s="78"/>
      <c r="N6" s="142"/>
      <c r="O6" s="142"/>
    </row>
    <row r="7" spans="1:17" s="3" customFormat="1" ht="11" thickBot="1" x14ac:dyDescent="0.3">
      <c r="A7" s="247">
        <v>96</v>
      </c>
      <c r="B7" s="23"/>
      <c r="C7" s="26"/>
      <c r="D7" s="47" t="s">
        <v>308</v>
      </c>
      <c r="E7" s="33"/>
      <c r="F7" s="36"/>
      <c r="G7" s="23"/>
      <c r="H7" s="23"/>
      <c r="I7" s="115"/>
      <c r="J7" s="228"/>
      <c r="K7" s="196"/>
      <c r="L7" s="229"/>
      <c r="N7" s="144"/>
      <c r="O7" s="144"/>
    </row>
    <row r="8" spans="1:17" ht="15.5" x14ac:dyDescent="0.35">
      <c r="A8" s="108" t="s">
        <v>306</v>
      </c>
      <c r="B8" s="16"/>
      <c r="C8" s="17"/>
      <c r="D8" s="51" t="s">
        <v>308</v>
      </c>
      <c r="E8" s="18"/>
      <c r="F8" s="37"/>
      <c r="G8" s="16"/>
      <c r="H8" s="16"/>
      <c r="I8" s="114"/>
      <c r="J8" s="230"/>
      <c r="K8" s="231"/>
      <c r="L8" s="232"/>
      <c r="N8" s="220"/>
      <c r="O8" s="220"/>
      <c r="P8" s="220"/>
      <c r="Q8" s="2"/>
    </row>
    <row r="9" spans="1:17" ht="13" x14ac:dyDescent="0.3">
      <c r="A9" s="24"/>
      <c r="B9" s="10"/>
      <c r="C9" s="13"/>
      <c r="D9" s="46" t="s">
        <v>308</v>
      </c>
      <c r="E9" s="11" t="s">
        <v>308</v>
      </c>
      <c r="F9" s="38" t="s">
        <v>308</v>
      </c>
      <c r="G9" s="11" t="s">
        <v>308</v>
      </c>
      <c r="H9" s="10"/>
      <c r="I9" s="82" t="s">
        <v>336</v>
      </c>
      <c r="J9" s="191" t="s">
        <v>308</v>
      </c>
      <c r="K9" s="175"/>
      <c r="L9" s="82" t="s">
        <v>336</v>
      </c>
      <c r="N9" s="220"/>
      <c r="O9" s="220"/>
      <c r="P9" s="220"/>
    </row>
    <row r="10" spans="1:17" s="3" customFormat="1" ht="10.5" x14ac:dyDescent="0.25">
      <c r="A10" s="20" t="s">
        <v>315</v>
      </c>
      <c r="B10" s="10"/>
      <c r="C10" s="10"/>
      <c r="D10" s="83">
        <f>E66</f>
        <v>6557.6498734541638</v>
      </c>
      <c r="E10" s="84" t="s">
        <v>308</v>
      </c>
      <c r="F10" s="85"/>
      <c r="G10" s="84">
        <f>H66</f>
        <v>7105.3242998518035</v>
      </c>
      <c r="H10" s="90"/>
      <c r="I10" s="221">
        <f>((G10/D10)-1)*100</f>
        <v>8.3516875247436673</v>
      </c>
      <c r="J10" s="83">
        <f>K66</f>
        <v>7480.9228906415801</v>
      </c>
      <c r="K10" s="175"/>
      <c r="L10" s="237">
        <f>((J10/G10)-1)*100</f>
        <v>5.2861569006443565</v>
      </c>
      <c r="N10" s="162"/>
      <c r="O10" s="162"/>
      <c r="P10" s="162"/>
    </row>
    <row r="11" spans="1:17" s="3" customFormat="1" ht="10.5" x14ac:dyDescent="0.25">
      <c r="A11" s="20"/>
      <c r="B11" s="10"/>
      <c r="C11" s="10"/>
      <c r="D11" s="83"/>
      <c r="E11" s="84"/>
      <c r="F11" s="85"/>
      <c r="G11" s="84"/>
      <c r="H11" s="84"/>
      <c r="I11" s="221"/>
      <c r="J11" s="178"/>
      <c r="K11" s="193"/>
      <c r="L11" s="192"/>
      <c r="N11" s="162"/>
      <c r="O11" s="162"/>
      <c r="P11" s="162"/>
    </row>
    <row r="12" spans="1:17" s="3" customFormat="1" ht="15.5" x14ac:dyDescent="0.35">
      <c r="A12" s="20" t="s">
        <v>395</v>
      </c>
      <c r="B12" s="10"/>
      <c r="C12" s="10"/>
      <c r="D12" s="95">
        <f>VLOOKUP($A$4,Luvut!$B$3:$AV$297,4)</f>
        <v>1.5263679823177443</v>
      </c>
      <c r="E12" s="96" t="s">
        <v>308</v>
      </c>
      <c r="F12" s="97"/>
      <c r="G12" s="96">
        <f>VLOOKUP($A$4,Luvut!$B$3:$EJ$297,50)</f>
        <v>1.3569511103880256</v>
      </c>
      <c r="H12" s="222"/>
      <c r="I12" s="223"/>
      <c r="J12" s="95">
        <f>VLOOKUP($A$4,Luvut!$B$3:$EJ$297,96)</f>
        <v>1.9824288535921184</v>
      </c>
      <c r="K12" s="175"/>
      <c r="L12" s="194"/>
      <c r="N12" s="162"/>
      <c r="O12" s="162"/>
      <c r="P12" s="162"/>
    </row>
    <row r="13" spans="1:17" s="3" customFormat="1" ht="10" x14ac:dyDescent="0.2">
      <c r="A13" s="20" t="s">
        <v>386</v>
      </c>
      <c r="B13" s="10"/>
      <c r="C13" s="10"/>
      <c r="D13" s="95">
        <f>VLOOKUP($A$4,Luvut!$B$3:$AV$297,5)</f>
        <v>80.756103243819908</v>
      </c>
      <c r="E13" s="96" t="s">
        <v>308</v>
      </c>
      <c r="F13" s="97"/>
      <c r="G13" s="96">
        <f>VLOOKUP($A$4,Luvut!$B$3:$EJ$297,51)</f>
        <v>84.447330372951342</v>
      </c>
      <c r="H13" s="222"/>
      <c r="I13" s="223"/>
      <c r="J13" s="95">
        <f>VLOOKUP($A$4,Luvut!$B$3:$EJ$297,97)</f>
        <v>84.264663756429755</v>
      </c>
      <c r="K13" s="175"/>
      <c r="L13" s="194"/>
      <c r="N13" s="142"/>
      <c r="O13" s="144"/>
    </row>
    <row r="14" spans="1:17" s="3" customFormat="1" ht="10" x14ac:dyDescent="0.2">
      <c r="A14" s="20" t="s">
        <v>316</v>
      </c>
      <c r="B14" s="10"/>
      <c r="C14" s="10"/>
      <c r="D14" s="83">
        <f>VLOOKUP($A$4,Luvut!$B$3:$AV$297,6)</f>
        <v>-6400.7277524402662</v>
      </c>
      <c r="E14" s="84" t="s">
        <v>308</v>
      </c>
      <c r="F14" s="85"/>
      <c r="G14" s="84">
        <f>VLOOKUP($A$4,Luvut!$B$3:$EJ$297,52)</f>
        <v>-6908.8508078017139</v>
      </c>
      <c r="H14" s="90"/>
      <c r="I14" s="91"/>
      <c r="J14" s="83">
        <f>VLOOKUP($A$4,Luvut!$B$3:$EJ$297,98)</f>
        <v>-7091.1732620305311</v>
      </c>
      <c r="K14" s="175"/>
      <c r="L14" s="194"/>
      <c r="N14" s="142"/>
      <c r="O14" s="144"/>
    </row>
    <row r="15" spans="1:17" s="3" customFormat="1" ht="10" x14ac:dyDescent="0.2">
      <c r="A15" s="20" t="s">
        <v>324</v>
      </c>
      <c r="B15" s="10"/>
      <c r="C15" s="10"/>
      <c r="D15" s="95">
        <f>VLOOKUP($A$4,Luvut!$B$3:$AV$297,10)</f>
        <v>42.443907732165421</v>
      </c>
      <c r="E15" s="96"/>
      <c r="F15" s="97"/>
      <c r="G15" s="96">
        <f>VLOOKUP($A$4,Luvut!$B$3:$EJ$297,56)</f>
        <v>41.859037258543488</v>
      </c>
      <c r="H15" s="222"/>
      <c r="I15" s="223"/>
      <c r="J15" s="95">
        <f>VLOOKUP($A$4,Luvut!$B$3:$EJ$297,102)</f>
        <v>42.051979561336196</v>
      </c>
      <c r="K15" s="175"/>
      <c r="L15" s="194"/>
      <c r="N15" s="142"/>
      <c r="O15" s="144"/>
    </row>
    <row r="16" spans="1:17" s="3" customFormat="1" ht="10" x14ac:dyDescent="0.2">
      <c r="A16" s="20"/>
      <c r="B16" s="10"/>
      <c r="C16" s="10"/>
      <c r="D16" s="83" t="s">
        <v>308</v>
      </c>
      <c r="E16" s="84" t="s">
        <v>308</v>
      </c>
      <c r="F16" s="85"/>
      <c r="G16" s="84" t="s">
        <v>308</v>
      </c>
      <c r="H16" s="90"/>
      <c r="I16" s="91"/>
      <c r="J16" s="177"/>
      <c r="K16" s="175"/>
      <c r="L16" s="194"/>
      <c r="N16" s="142"/>
      <c r="O16" s="144"/>
    </row>
    <row r="17" spans="1:23" s="3" customFormat="1" ht="10" x14ac:dyDescent="0.2">
      <c r="A17" s="20" t="s">
        <v>353</v>
      </c>
      <c r="B17" s="10"/>
      <c r="C17" s="13"/>
      <c r="D17" s="83">
        <f>VLOOKUP($A$4,Luvut!$B$3:$AV$297,11)</f>
        <v>1343.5386916855102</v>
      </c>
      <c r="E17" s="90"/>
      <c r="F17" s="91"/>
      <c r="G17" s="84">
        <f>VLOOKUP($A$4,Luvut!$B$3:$EJ$297,57)</f>
        <v>1415</v>
      </c>
      <c r="H17" s="90" t="s">
        <v>308</v>
      </c>
      <c r="I17" s="91"/>
      <c r="J17" s="83">
        <f>VLOOKUP($A$4,Luvut!$B$3:$EJ$297,103)</f>
        <v>1682.390131374299</v>
      </c>
      <c r="K17" s="195" t="s">
        <v>308</v>
      </c>
      <c r="L17" s="194"/>
      <c r="M17" s="59"/>
      <c r="N17" s="142"/>
      <c r="O17" s="144"/>
    </row>
    <row r="18" spans="1:23" s="3" customFormat="1" ht="10" x14ac:dyDescent="0.2">
      <c r="A18" s="20" t="s">
        <v>302</v>
      </c>
      <c r="B18" s="10"/>
      <c r="C18" s="13"/>
      <c r="D18" s="83">
        <f>VLOOKUP($A$4,Luvut!$B$3:$AV$297,12)</f>
        <v>41.772034749970985</v>
      </c>
      <c r="E18" s="90"/>
      <c r="F18" s="91"/>
      <c r="G18" s="84">
        <f>VLOOKUP($A$4,Luvut!$B$3:$EJ$297,58)</f>
        <v>39.995564898031837</v>
      </c>
      <c r="H18" s="90"/>
      <c r="I18" s="91"/>
      <c r="J18" s="83">
        <f>VLOOKUP($A$4,Luvut!$B$3:$EJ$297,104)</f>
        <v>49.384024317471685</v>
      </c>
      <c r="K18" s="175"/>
      <c r="L18" s="194"/>
      <c r="N18" s="142"/>
      <c r="O18" s="144"/>
      <c r="Q18" s="159"/>
    </row>
    <row r="19" spans="1:23" s="3" customFormat="1" ht="10.5" thickBot="1" x14ac:dyDescent="0.25">
      <c r="A19" s="22" t="s">
        <v>317</v>
      </c>
      <c r="B19" s="23"/>
      <c r="C19" s="26"/>
      <c r="D19" s="92">
        <f>VLOOKUP($A$4,Luvut!$B$3:$AV$297,13)</f>
        <v>11739.711158445591</v>
      </c>
      <c r="E19" s="93"/>
      <c r="F19" s="94"/>
      <c r="G19" s="224">
        <f>VLOOKUP($A$4,Luvut!$B$3:$EJ$297,59)</f>
        <v>12284.033505792471</v>
      </c>
      <c r="H19" s="93"/>
      <c r="I19" s="94"/>
      <c r="J19" s="92">
        <f>VLOOKUP($A$4,Luvut!$B$3:$EJ$297,105)</f>
        <v>12434.636634794566</v>
      </c>
      <c r="K19" s="196"/>
      <c r="L19" s="197" t="s">
        <v>308</v>
      </c>
      <c r="N19" s="142"/>
      <c r="O19" s="144"/>
    </row>
    <row r="20" spans="1:23" ht="15.5" x14ac:dyDescent="0.35">
      <c r="A20" s="52" t="s">
        <v>296</v>
      </c>
      <c r="B20" s="10"/>
      <c r="C20" s="39"/>
      <c r="D20" s="55">
        <v>1000</v>
      </c>
      <c r="E20" s="40" t="s">
        <v>318</v>
      </c>
      <c r="F20" s="41"/>
      <c r="G20" s="56">
        <v>1000</v>
      </c>
      <c r="H20" s="40" t="s">
        <v>318</v>
      </c>
      <c r="I20" s="82" t="s">
        <v>336</v>
      </c>
      <c r="J20" s="56">
        <v>1000</v>
      </c>
      <c r="K20" s="40" t="s">
        <v>318</v>
      </c>
      <c r="L20" s="82" t="s">
        <v>336</v>
      </c>
      <c r="M20" s="54"/>
      <c r="N20" s="145" t="s">
        <v>401</v>
      </c>
      <c r="O20" s="145" t="s">
        <v>412</v>
      </c>
      <c r="P20" s="3"/>
    </row>
    <row r="21" spans="1:23" ht="13" x14ac:dyDescent="0.3">
      <c r="A21" s="24"/>
      <c r="B21" s="10"/>
      <c r="C21" s="39"/>
      <c r="D21" s="55"/>
      <c r="E21" s="40"/>
      <c r="F21" s="41"/>
      <c r="G21" s="56"/>
      <c r="H21" s="40"/>
      <c r="I21" s="225"/>
      <c r="J21" s="233"/>
      <c r="K21" s="234"/>
      <c r="L21" s="199"/>
      <c r="M21" s="54"/>
      <c r="N21" s="145" t="s">
        <v>369</v>
      </c>
      <c r="O21" s="145" t="s">
        <v>369</v>
      </c>
      <c r="Q21" s="169"/>
    </row>
    <row r="22" spans="1:23" s="183" customFormat="1" x14ac:dyDescent="0.25">
      <c r="A22" s="174"/>
      <c r="B22" s="175"/>
      <c r="C22" s="176"/>
      <c r="D22" s="177">
        <f>VLOOKUP($A$4,Luvut!$B$3:$AZ$297,14)</f>
        <v>0</v>
      </c>
      <c r="E22" s="178"/>
      <c r="F22" s="179"/>
      <c r="G22" s="84"/>
      <c r="H22" s="84"/>
      <c r="I22" s="81"/>
      <c r="J22" s="177"/>
      <c r="K22" s="178"/>
      <c r="L22" s="180"/>
      <c r="M22" s="181"/>
      <c r="N22" s="141"/>
      <c r="O22" s="145"/>
      <c r="P22"/>
      <c r="Q22" s="184"/>
    </row>
    <row r="23" spans="1:23" s="183" customFormat="1" ht="10.5" x14ac:dyDescent="0.25">
      <c r="A23" s="174"/>
      <c r="B23" s="175"/>
      <c r="C23" s="176"/>
      <c r="D23" s="177">
        <f>VLOOKUP($A$4,Luvut!$B$3:$EL$297,134)</f>
        <v>0</v>
      </c>
      <c r="E23" s="178"/>
      <c r="F23" s="179"/>
      <c r="G23" s="84"/>
      <c r="H23" s="84"/>
      <c r="I23" s="81"/>
      <c r="J23" s="177"/>
      <c r="K23" s="178"/>
      <c r="L23" s="180"/>
      <c r="M23" s="181"/>
      <c r="N23" s="182"/>
      <c r="O23" s="182"/>
      <c r="Q23" s="184"/>
    </row>
    <row r="24" spans="1:23" s="4" customFormat="1" ht="10.5" x14ac:dyDescent="0.25">
      <c r="A24" s="20" t="s">
        <v>368</v>
      </c>
      <c r="B24" s="10"/>
      <c r="C24" s="39"/>
      <c r="D24" s="83">
        <f>VLOOKUP($A$4,Luvut!$B$3:$AV$297,15)</f>
        <v>25943563</v>
      </c>
      <c r="E24" s="84">
        <f>D24*1000/$D$6</f>
        <v>4727.2136410762869</v>
      </c>
      <c r="F24" s="85"/>
      <c r="G24" s="84">
        <f>VLOOKUP($A$4,Luvut!$B$3:$EJ$297,61)</f>
        <v>26773464</v>
      </c>
      <c r="H24" s="84">
        <f>G24*1000/$G$6</f>
        <v>4871.9701976632123</v>
      </c>
      <c r="I24" s="237">
        <f t="shared" ref="I24:I55" si="0">((G24/D24)-1)*100</f>
        <v>3.198870563769507</v>
      </c>
      <c r="J24" s="83">
        <f>VLOOKUP($A$4,Luvut!$B$3:$EJ$297,107)</f>
        <v>26450859</v>
      </c>
      <c r="K24" s="84">
        <f>J24*1000/$J$6</f>
        <v>4806.0453908523486</v>
      </c>
      <c r="L24" s="81">
        <f t="shared" ref="L24:L57" si="1">((J24/G24)-1)*100</f>
        <v>-1.2049430734849986</v>
      </c>
      <c r="M24" s="79"/>
      <c r="N24" s="145">
        <f>((H24/E24)-1)*100</f>
        <v>3.0621962022001403</v>
      </c>
      <c r="O24" s="145">
        <f>((K24/H24)-1)*100</f>
        <v>-1.3531447060674551</v>
      </c>
      <c r="P24" s="183"/>
    </row>
    <row r="25" spans="1:23" s="3" customFormat="1" ht="10.5" x14ac:dyDescent="0.25">
      <c r="A25" s="20" t="s">
        <v>288</v>
      </c>
      <c r="B25" s="10"/>
      <c r="C25" s="39"/>
      <c r="D25" s="83">
        <f>VLOOKUP($A$4,Luvut!$B$3:$AV$297,16)</f>
        <v>52927942</v>
      </c>
      <c r="E25" s="84">
        <f t="shared" ref="E25:E69" si="2">D25*1000/$D$6</f>
        <v>9644.0758509729185</v>
      </c>
      <c r="F25" s="85"/>
      <c r="G25" s="84">
        <f>VLOOKUP($A$4,Luvut!$B$3:$EJ$297,62)</f>
        <v>54871212</v>
      </c>
      <c r="H25" s="84">
        <f t="shared" ref="H25:H49" si="3">G25*1000/$G$6</f>
        <v>9984.9205008982044</v>
      </c>
      <c r="I25" s="237">
        <f t="shared" si="0"/>
        <v>3.6715389387329767</v>
      </c>
      <c r="J25" s="83">
        <f>VLOOKUP($A$4,Luvut!$B$3:$EJ$297,108)</f>
        <v>55390857</v>
      </c>
      <c r="K25" s="84">
        <f>J25*1000/$J$6</f>
        <v>10064.360215303841</v>
      </c>
      <c r="L25" s="81">
        <f t="shared" si="1"/>
        <v>0.94702664850923046</v>
      </c>
      <c r="M25" s="79"/>
      <c r="N25" s="145">
        <f>((H25/E25)-1)*100</f>
        <v>3.5342385853477154</v>
      </c>
      <c r="O25" s="145">
        <f>((K25/H25)-1)*100</f>
        <v>0.79559686427639331</v>
      </c>
      <c r="P25" s="4"/>
      <c r="S25" s="159"/>
    </row>
    <row r="26" spans="1:23" s="3" customFormat="1" ht="10.5" x14ac:dyDescent="0.25">
      <c r="A26" s="200" t="s">
        <v>379</v>
      </c>
      <c r="B26" s="10"/>
      <c r="C26" s="39"/>
      <c r="D26" s="83">
        <f>VLOOKUP($A$4,Luvut!$B$3:$AZ$297,17)</f>
        <v>66311</v>
      </c>
      <c r="E26" s="84">
        <f t="shared" si="2"/>
        <v>12.082621949552944</v>
      </c>
      <c r="F26" s="85"/>
      <c r="G26" s="84">
        <f>VLOOKUP($A$4,Luvut!$B$3:$EJ$297,63)</f>
        <v>68648</v>
      </c>
      <c r="H26" s="84">
        <f t="shared" si="3"/>
        <v>12.491884133079838</v>
      </c>
      <c r="I26" s="237"/>
      <c r="J26" s="83">
        <f>VLOOKUP($A$4,Luvut!$B$3:$EJ$297,109)</f>
        <v>93462</v>
      </c>
      <c r="K26" s="84">
        <f>J26*1000/$J$6</f>
        <v>16.981777957375304</v>
      </c>
      <c r="L26" s="114"/>
      <c r="M26" s="79"/>
      <c r="N26" s="145"/>
      <c r="O26" s="145"/>
      <c r="S26" s="159"/>
    </row>
    <row r="27" spans="1:23" s="3" customFormat="1" ht="10.5" x14ac:dyDescent="0.25">
      <c r="A27" s="42" t="s">
        <v>289</v>
      </c>
      <c r="B27" s="32"/>
      <c r="C27" s="103"/>
      <c r="D27" s="86">
        <f>VLOOKUP($A$4,Luvut!$B$3:$AV$297,18)</f>
        <v>-26918068</v>
      </c>
      <c r="E27" s="87">
        <f t="shared" si="2"/>
        <v>-4904.7795879470787</v>
      </c>
      <c r="F27" s="88"/>
      <c r="G27" s="87">
        <f>VLOOKUP($A$4,Luvut!$B$3:$EJ$297,64)</f>
        <v>-28029100</v>
      </c>
      <c r="H27" s="87">
        <f t="shared" si="3"/>
        <v>-5100.4584191019121</v>
      </c>
      <c r="I27" s="237">
        <f t="shared" si="0"/>
        <v>4.1274581816198586</v>
      </c>
      <c r="J27" s="86">
        <f>VLOOKUP($A$4,Luvut!$B$3:$EJ$297,110)</f>
        <v>-28846536</v>
      </c>
      <c r="K27" s="198">
        <f>J27*1000/$J$6</f>
        <v>-5241.3330464941173</v>
      </c>
      <c r="L27" s="81">
        <f t="shared" si="1"/>
        <v>2.9163833301818487</v>
      </c>
      <c r="M27" s="80"/>
      <c r="N27" s="145">
        <f>((H27/E27)-1)*100</f>
        <v>3.989554018608521</v>
      </c>
      <c r="O27" s="145">
        <f>((K27/H27)-1)*100</f>
        <v>2.7619993305819435</v>
      </c>
      <c r="Q27" s="27"/>
      <c r="R27" s="27"/>
      <c r="S27" s="159"/>
      <c r="T27" s="27"/>
      <c r="U27" s="27"/>
      <c r="V27" s="27"/>
      <c r="W27" s="27"/>
    </row>
    <row r="28" spans="1:23" s="3" customFormat="1" ht="10.5" x14ac:dyDescent="0.25">
      <c r="A28" s="42"/>
      <c r="B28" s="32"/>
      <c r="C28" s="103"/>
      <c r="D28" s="83" t="s">
        <v>308</v>
      </c>
      <c r="E28" s="84" t="s">
        <v>308</v>
      </c>
      <c r="F28" s="88"/>
      <c r="G28" s="84" t="s">
        <v>308</v>
      </c>
      <c r="H28" s="84" t="s">
        <v>308</v>
      </c>
      <c r="I28" s="237"/>
      <c r="J28" s="177" t="s">
        <v>308</v>
      </c>
      <c r="K28" s="178" t="s">
        <v>308</v>
      </c>
      <c r="L28" s="81"/>
      <c r="M28" s="79"/>
      <c r="N28" s="145"/>
      <c r="O28" s="145"/>
      <c r="P28" s="27"/>
      <c r="Q28" s="27"/>
      <c r="R28" s="27"/>
      <c r="S28" s="159"/>
      <c r="T28" s="54"/>
      <c r="U28" s="54"/>
      <c r="V28" s="73"/>
      <c r="W28" s="27"/>
    </row>
    <row r="29" spans="1:23" s="4" customFormat="1" ht="10.5" x14ac:dyDescent="0.25">
      <c r="A29" s="20" t="s">
        <v>290</v>
      </c>
      <c r="B29" s="10"/>
      <c r="C29" s="39"/>
      <c r="D29" s="83">
        <f>VLOOKUP($A$4,Luvut!$B$3:$AV$297,19)</f>
        <v>22270468</v>
      </c>
      <c r="E29" s="84">
        <f t="shared" si="2"/>
        <v>4057.9337588577532</v>
      </c>
      <c r="F29" s="85"/>
      <c r="G29" s="84">
        <f>VLOOKUP($A$4,Luvut!$B$3:$EJ$297,65)</f>
        <v>22852554</v>
      </c>
      <c r="H29" s="84">
        <f t="shared" si="3"/>
        <v>4158.4817724179893</v>
      </c>
      <c r="I29" s="237">
        <f t="shared" si="0"/>
        <v>2.6137124733975003</v>
      </c>
      <c r="J29" s="83">
        <f>VLOOKUP($A$4,Luvut!$B$3:$EJ$297,111)</f>
        <v>23776310</v>
      </c>
      <c r="K29" s="84">
        <f>J29*1000/$J$6</f>
        <v>4320.0874908061251</v>
      </c>
      <c r="L29" s="81">
        <f t="shared" si="1"/>
        <v>4.0422440310172725</v>
      </c>
      <c r="M29" s="79"/>
      <c r="N29" s="145">
        <f>((H29/E29)-1)*100</f>
        <v>2.4778130826004219</v>
      </c>
      <c r="O29" s="145">
        <f>((K29/H29)-1)*100</f>
        <v>3.8861711372650376</v>
      </c>
      <c r="P29" s="27"/>
      <c r="Q29" s="54"/>
      <c r="R29" s="54"/>
      <c r="S29" s="159"/>
      <c r="T29" s="54"/>
      <c r="U29" s="54"/>
      <c r="V29" s="54"/>
      <c r="W29" s="54"/>
    </row>
    <row r="30" spans="1:23" s="4" customFormat="1" ht="10.5" x14ac:dyDescent="0.25">
      <c r="A30" s="20" t="s">
        <v>330</v>
      </c>
      <c r="B30" s="10"/>
      <c r="C30" s="39"/>
      <c r="D30" s="83">
        <f>VLOOKUP($A$4,Luvut!$B$3:$AV$297,20)</f>
        <v>9617527</v>
      </c>
      <c r="E30" s="84">
        <f t="shared" si="2"/>
        <v>1752.4233208761455</v>
      </c>
      <c r="F30" s="85"/>
      <c r="G30" s="84">
        <f>VLOOKUP($A$4,Luvut!$B$3:$EJ$297,66)</f>
        <v>9778703</v>
      </c>
      <c r="H30" s="84">
        <f t="shared" si="3"/>
        <v>1779.4316636726519</v>
      </c>
      <c r="I30" s="237">
        <f t="shared" si="0"/>
        <v>1.6758570056522926</v>
      </c>
      <c r="J30" s="83">
        <f>VLOOKUP($A$4,Luvut!$B$3:$EJ$297,112)</f>
        <v>12215170</v>
      </c>
      <c r="K30" s="84">
        <f>J30*1000/$J$6</f>
        <v>2219.4614351457503</v>
      </c>
      <c r="L30" s="81">
        <f t="shared" si="1"/>
        <v>24.916054818312826</v>
      </c>
      <c r="M30" s="79"/>
      <c r="N30" s="145">
        <f>((H30/E30)-1)*100</f>
        <v>1.5411996904379999</v>
      </c>
      <c r="O30" s="145">
        <f>((K30/H30)-1)*100</f>
        <v>24.728669296852935</v>
      </c>
      <c r="P30" s="54"/>
      <c r="Q30" s="54"/>
      <c r="R30" s="54"/>
      <c r="S30" s="159"/>
      <c r="T30" s="54"/>
      <c r="U30" s="54"/>
      <c r="V30" s="54"/>
      <c r="W30" s="54"/>
    </row>
    <row r="31" spans="1:23" s="4" customFormat="1" ht="10.5" x14ac:dyDescent="0.25">
      <c r="A31" s="100"/>
      <c r="B31" s="44"/>
      <c r="C31" s="104"/>
      <c r="D31" s="101"/>
      <c r="E31" s="102"/>
      <c r="F31" s="89"/>
      <c r="G31" s="102"/>
      <c r="H31" s="102"/>
      <c r="I31" s="237"/>
      <c r="J31" s="240"/>
      <c r="K31" s="102"/>
      <c r="L31" s="81"/>
      <c r="M31" s="79"/>
      <c r="N31" s="145"/>
      <c r="O31" s="145"/>
      <c r="P31" s="54"/>
      <c r="Q31" s="54"/>
      <c r="R31" s="151"/>
      <c r="S31" s="159"/>
      <c r="T31" s="54"/>
      <c r="U31" s="54"/>
      <c r="V31" s="54"/>
      <c r="W31" s="54"/>
    </row>
    <row r="32" spans="1:23" s="4" customFormat="1" ht="10.5" x14ac:dyDescent="0.25">
      <c r="A32" s="42" t="s">
        <v>355</v>
      </c>
      <c r="B32" s="10"/>
      <c r="C32" s="39"/>
      <c r="D32" s="83">
        <f>SUM(D29:D30)</f>
        <v>31887995</v>
      </c>
      <c r="E32" s="84">
        <f t="shared" si="2"/>
        <v>5810.357079733898</v>
      </c>
      <c r="F32" s="85"/>
      <c r="G32" s="84">
        <f>SUM(G29:G30)</f>
        <v>32631257</v>
      </c>
      <c r="H32" s="84">
        <f t="shared" si="3"/>
        <v>5937.9134360906419</v>
      </c>
      <c r="I32" s="237">
        <f t="shared" si="0"/>
        <v>2.3308520965334978</v>
      </c>
      <c r="J32" s="83">
        <f>SUM(J29:J30)</f>
        <v>35991480</v>
      </c>
      <c r="K32" s="84">
        <f>J32*1000/$J$6</f>
        <v>6539.5489259518754</v>
      </c>
      <c r="L32" s="81">
        <f t="shared" si="1"/>
        <v>10.297559177692728</v>
      </c>
      <c r="M32" s="80"/>
      <c r="N32" s="145">
        <f>((H32/E32)-1)*100</f>
        <v>2.1953273199275758</v>
      </c>
      <c r="O32" s="145">
        <f>((K32/H32)-1)*100</f>
        <v>10.132102738387738</v>
      </c>
      <c r="P32" s="54"/>
      <c r="Q32" s="54"/>
      <c r="R32" s="54"/>
      <c r="S32" s="159"/>
      <c r="T32" s="54"/>
      <c r="U32" s="54"/>
      <c r="V32" s="54"/>
      <c r="W32" s="54"/>
    </row>
    <row r="33" spans="1:23" s="3" customFormat="1" ht="10.5" x14ac:dyDescent="0.25">
      <c r="A33" s="42" t="s">
        <v>292</v>
      </c>
      <c r="B33" s="32"/>
      <c r="C33" s="103"/>
      <c r="D33" s="86">
        <f>D32+D27</f>
        <v>4969927</v>
      </c>
      <c r="E33" s="87">
        <f t="shared" si="2"/>
        <v>905.57749178681991</v>
      </c>
      <c r="F33" s="88"/>
      <c r="G33" s="87">
        <f>G27+G32</f>
        <v>4602157</v>
      </c>
      <c r="H33" s="87">
        <f t="shared" si="3"/>
        <v>837.45501698872954</v>
      </c>
      <c r="I33" s="237"/>
      <c r="J33" s="87">
        <f>J27+J32</f>
        <v>7144944</v>
      </c>
      <c r="K33" s="87">
        <f>J33*1000/$J$6</f>
        <v>1298.2158794577576</v>
      </c>
      <c r="L33" s="81"/>
      <c r="M33" s="79"/>
      <c r="N33" s="145"/>
      <c r="O33" s="145"/>
      <c r="P33" s="54"/>
      <c r="Q33" s="27"/>
      <c r="R33" s="27"/>
      <c r="S33" s="159"/>
      <c r="T33" s="27"/>
      <c r="U33" s="166"/>
      <c r="V33" s="27"/>
      <c r="W33" s="27"/>
    </row>
    <row r="34" spans="1:23" s="4" customFormat="1" ht="10.5" x14ac:dyDescent="0.25">
      <c r="A34" s="42"/>
      <c r="B34" s="32"/>
      <c r="C34" s="103"/>
      <c r="D34" s="46"/>
      <c r="E34" s="11" t="s">
        <v>308</v>
      </c>
      <c r="F34" s="43"/>
      <c r="G34" s="11"/>
      <c r="H34" s="11" t="s">
        <v>308</v>
      </c>
      <c r="I34" s="237"/>
      <c r="J34" s="191"/>
      <c r="K34" s="190" t="s">
        <v>308</v>
      </c>
      <c r="L34" s="81"/>
      <c r="M34" s="75"/>
      <c r="N34" s="145"/>
      <c r="O34" s="145"/>
      <c r="P34" s="27"/>
      <c r="S34" s="159"/>
      <c r="V34" s="74"/>
    </row>
    <row r="35" spans="1:23" s="4" customFormat="1" ht="10.5" x14ac:dyDescent="0.25">
      <c r="A35" s="20" t="s">
        <v>301</v>
      </c>
      <c r="B35" s="10"/>
      <c r="C35" s="39"/>
      <c r="D35" s="83">
        <f>VLOOKUP($A$4,Luvut!$B$3:$AV$297,23)</f>
        <v>-334759</v>
      </c>
      <c r="E35" s="84">
        <f t="shared" si="2"/>
        <v>-60.996915160537377</v>
      </c>
      <c r="F35" s="85" t="s">
        <v>308</v>
      </c>
      <c r="G35" s="84">
        <f>VLOOKUP($A$4,Luvut!$B$3:$EJ$297,69)</f>
        <v>-331984</v>
      </c>
      <c r="H35" s="84">
        <f t="shared" si="3"/>
        <v>-60.411165103664736</v>
      </c>
      <c r="I35" s="237"/>
      <c r="J35" s="83">
        <f>VLOOKUP($A$4,Luvut!$B$3:$EJ$297,115)</f>
        <v>-355306</v>
      </c>
      <c r="K35" s="178">
        <f>J35*1000/$J$6</f>
        <v>-64.55808348765477</v>
      </c>
      <c r="L35" s="81"/>
      <c r="M35" s="54"/>
      <c r="N35" s="145"/>
      <c r="O35" s="145"/>
      <c r="S35" s="159"/>
    </row>
    <row r="36" spans="1:23" s="3" customFormat="1" ht="10.5" x14ac:dyDescent="0.25">
      <c r="A36" s="20" t="s">
        <v>300</v>
      </c>
      <c r="B36" s="10"/>
      <c r="C36" s="39"/>
      <c r="D36" s="83">
        <f>VLOOKUP($A$4,Luvut!$B$3:$AV$297,24)</f>
        <v>102912</v>
      </c>
      <c r="E36" s="84">
        <f t="shared" si="2"/>
        <v>18.75174239677267</v>
      </c>
      <c r="F36" s="85" t="s">
        <v>308</v>
      </c>
      <c r="G36" s="84">
        <f>VLOOKUP($A$4,Luvut!$B$3:$EJ$297,70)</f>
        <v>204608</v>
      </c>
      <c r="H36" s="84">
        <f t="shared" si="3"/>
        <v>37.232540331855247</v>
      </c>
      <c r="I36" s="237"/>
      <c r="J36" s="83">
        <f>VLOOKUP($A$4,Luvut!$B$3:$EJ$297,116)</f>
        <v>104750</v>
      </c>
      <c r="K36" s="84">
        <f>J36*1000/$J$6</f>
        <v>19.032775256629037</v>
      </c>
      <c r="L36" s="81"/>
      <c r="M36" s="54"/>
      <c r="N36" s="145"/>
      <c r="O36" s="145"/>
      <c r="P36" s="4"/>
      <c r="R36" s="159"/>
      <c r="S36" s="159"/>
    </row>
    <row r="37" spans="1:23" s="3" customFormat="1" ht="10.5" x14ac:dyDescent="0.25">
      <c r="A37" s="42" t="s">
        <v>293</v>
      </c>
      <c r="B37" s="32"/>
      <c r="C37" s="103"/>
      <c r="D37" s="86">
        <f>VLOOKUP($A$4,Luvut!$B$3:$AV$297,25)</f>
        <v>4738081</v>
      </c>
      <c r="E37" s="87">
        <f t="shared" si="2"/>
        <v>863.33250123448238</v>
      </c>
      <c r="F37" s="88"/>
      <c r="G37" s="87">
        <f>VLOOKUP($A$4,Luvut!$B$3:$EJ$297,71)</f>
        <v>4474781</v>
      </c>
      <c r="H37" s="87">
        <f t="shared" si="3"/>
        <v>814.27639221692004</v>
      </c>
      <c r="I37" s="237"/>
      <c r="J37" s="86">
        <f>VLOOKUP($A$4,Luvut!$B$3:$EJ$297,117)</f>
        <v>6894388</v>
      </c>
      <c r="K37" s="87">
        <f>J37*1000/$J$6</f>
        <v>1252.6905712267319</v>
      </c>
      <c r="L37" s="81"/>
      <c r="M37" s="27"/>
      <c r="N37" s="145"/>
      <c r="O37" s="145"/>
      <c r="R37" s="159"/>
      <c r="S37" s="159"/>
    </row>
    <row r="38" spans="1:23" s="4" customFormat="1" ht="10.5" x14ac:dyDescent="0.25">
      <c r="A38" s="42"/>
      <c r="B38" s="32"/>
      <c r="C38" s="103"/>
      <c r="D38" s="83" t="s">
        <v>308</v>
      </c>
      <c r="E38" s="84" t="s">
        <v>308</v>
      </c>
      <c r="F38" s="88"/>
      <c r="G38" s="84" t="s">
        <v>308</v>
      </c>
      <c r="H38" s="84" t="s">
        <v>308</v>
      </c>
      <c r="I38" s="237"/>
      <c r="J38" s="177" t="s">
        <v>308</v>
      </c>
      <c r="K38" s="84" t="s">
        <v>308</v>
      </c>
      <c r="L38" s="81"/>
      <c r="N38" s="145"/>
      <c r="O38" s="145"/>
      <c r="P38" s="3"/>
      <c r="R38" s="159"/>
      <c r="S38" s="159"/>
    </row>
    <row r="39" spans="1:23" s="4" customFormat="1" ht="10.5" x14ac:dyDescent="0.25">
      <c r="A39" s="20" t="s">
        <v>321</v>
      </c>
      <c r="B39" s="10"/>
      <c r="C39" s="39"/>
      <c r="D39" s="83">
        <f>VLOOKUP($A$4,Luvut!$B$3:$AV$297,26)</f>
        <v>4281198</v>
      </c>
      <c r="E39" s="84">
        <f t="shared" si="2"/>
        <v>780.08319773766289</v>
      </c>
      <c r="F39" s="85" t="s">
        <v>308</v>
      </c>
      <c r="G39" s="84">
        <f>VLOOKUP($A$4,Luvut!$B$3:$EJ$297,72)</f>
        <v>4468740</v>
      </c>
      <c r="H39" s="84">
        <f t="shared" si="3"/>
        <v>813.1771107804916</v>
      </c>
      <c r="I39" s="237">
        <f t="shared" si="0"/>
        <v>4.380596272351811</v>
      </c>
      <c r="J39" s="83">
        <f>VLOOKUP($A$4,Luvut!$B$3:$EJ$297,118)</f>
        <v>4681442</v>
      </c>
      <c r="K39" s="84">
        <f>J39*1000/$J$6</f>
        <v>850.60461539803305</v>
      </c>
      <c r="L39" s="81">
        <f t="shared" si="1"/>
        <v>4.7597756862113316</v>
      </c>
      <c r="N39" s="145"/>
      <c r="O39" s="145"/>
      <c r="R39" s="159"/>
      <c r="S39" s="159"/>
    </row>
    <row r="40" spans="1:23" s="3" customFormat="1" ht="10.5" x14ac:dyDescent="0.25">
      <c r="A40" s="20" t="s">
        <v>380</v>
      </c>
      <c r="B40" s="10"/>
      <c r="C40" s="39"/>
      <c r="D40" s="83">
        <f>VLOOKUP($A$4,Luvut!$B$3:$AV$297,27)</f>
        <v>-9816</v>
      </c>
      <c r="E40" s="84">
        <f t="shared" si="2"/>
        <v>-1.7885873694682888</v>
      </c>
      <c r="F40" s="85"/>
      <c r="G40" s="84">
        <f>VLOOKUP($A$4,Luvut!$B$3:$EJ$297,73)</f>
        <v>339759</v>
      </c>
      <c r="H40" s="84">
        <f t="shared" si="3"/>
        <v>61.825982711383759</v>
      </c>
      <c r="I40" s="237"/>
      <c r="J40" s="83">
        <f>VLOOKUP($A$4,Luvut!$B$3:$EJ$297,119)</f>
        <v>119640</v>
      </c>
      <c r="K40" s="84">
        <f>J40*1000/$J$6</f>
        <v>21.738245648716926</v>
      </c>
      <c r="L40" s="81"/>
      <c r="M40" s="27"/>
      <c r="N40" s="145"/>
      <c r="O40" s="145"/>
      <c r="P40" s="113"/>
      <c r="R40" s="159"/>
      <c r="S40" s="159"/>
    </row>
    <row r="41" spans="1:23" s="3" customFormat="1" ht="10.5" x14ac:dyDescent="0.25">
      <c r="A41" s="20"/>
      <c r="B41" s="10"/>
      <c r="C41" s="39"/>
      <c r="D41" s="83"/>
      <c r="E41" s="84"/>
      <c r="F41" s="85"/>
      <c r="G41" s="84"/>
      <c r="H41" s="84"/>
      <c r="I41" s="237"/>
      <c r="J41" s="83"/>
      <c r="K41" s="84"/>
      <c r="L41" s="81"/>
      <c r="M41" s="27"/>
      <c r="N41" s="145"/>
      <c r="O41" s="145"/>
      <c r="R41" s="159"/>
      <c r="S41" s="159"/>
    </row>
    <row r="42" spans="1:23" s="3" customFormat="1" ht="10.5" x14ac:dyDescent="0.25">
      <c r="A42" s="42" t="s">
        <v>294</v>
      </c>
      <c r="B42" s="32"/>
      <c r="C42" s="103"/>
      <c r="D42" s="86">
        <f>VLOOKUP($A$4,Luvut!$B$3:$AV$297,29)</f>
        <v>447119</v>
      </c>
      <c r="E42" s="87">
        <f t="shared" si="2"/>
        <v>81.470191121566003</v>
      </c>
      <c r="F42" s="88"/>
      <c r="G42" s="87">
        <f>VLOOKUP($A$4,Luvut!$B$3:$EJ$297,75)</f>
        <v>345800</v>
      </c>
      <c r="H42" s="87">
        <f t="shared" si="3"/>
        <v>62.925264147812136</v>
      </c>
      <c r="I42" s="237"/>
      <c r="J42" s="86">
        <f>VLOOKUP($A$4,Luvut!$B$3:$EJ$297,121)</f>
        <v>2332586</v>
      </c>
      <c r="K42" s="87">
        <f>J42*1000/$J$6</f>
        <v>423.82420147741578</v>
      </c>
      <c r="L42" s="81"/>
      <c r="N42" s="145"/>
      <c r="O42" s="145"/>
      <c r="Q42" s="159"/>
      <c r="R42" s="159"/>
    </row>
    <row r="43" spans="1:23" s="3" customFormat="1" ht="10.5" x14ac:dyDescent="0.25">
      <c r="A43" s="42"/>
      <c r="B43" s="32"/>
      <c r="C43" s="103"/>
      <c r="D43" s="86"/>
      <c r="E43" s="87"/>
      <c r="F43" s="88"/>
      <c r="G43" s="87"/>
      <c r="H43" s="87"/>
      <c r="I43" s="237"/>
      <c r="J43" s="86"/>
      <c r="K43" s="87"/>
      <c r="L43" s="81"/>
      <c r="N43" s="145"/>
      <c r="O43" s="145"/>
      <c r="Q43" s="159"/>
      <c r="R43" s="159"/>
    </row>
    <row r="44" spans="1:23" s="3" customFormat="1" ht="10.5" x14ac:dyDescent="0.25">
      <c r="A44" s="20" t="s">
        <v>385</v>
      </c>
      <c r="B44" s="32"/>
      <c r="C44" s="103"/>
      <c r="D44" s="83">
        <f>VLOOKUP($A$4,Luvut!$B$3:$AV$297,31)</f>
        <v>17985</v>
      </c>
      <c r="E44" s="84">
        <f t="shared" ref="E44:E46" si="4">D44*1000/$D$6</f>
        <v>3.2770725183259142</v>
      </c>
      <c r="F44" s="88"/>
      <c r="G44" s="84">
        <f>VLOOKUP($A$4,Luvut!$B$3:$EJ$297,77)</f>
        <v>24483</v>
      </c>
      <c r="H44" s="84">
        <f t="shared" si="3"/>
        <v>4.455174210904814</v>
      </c>
      <c r="I44" s="237"/>
      <c r="J44" s="83">
        <f>VLOOKUP($A$4,Luvut!$B$3:$EJ$297,123)</f>
        <v>-58220</v>
      </c>
      <c r="K44" s="87">
        <f>J44*1000/$J$6</f>
        <v>-10.578407402777495</v>
      </c>
      <c r="L44" s="81"/>
      <c r="M44" s="27"/>
      <c r="N44" s="145"/>
      <c r="O44" s="145"/>
      <c r="Q44" s="159"/>
      <c r="R44" s="159"/>
    </row>
    <row r="45" spans="1:23" s="183" customFormat="1" ht="10.5" x14ac:dyDescent="0.25">
      <c r="A45" s="20" t="s">
        <v>387</v>
      </c>
      <c r="B45" s="175"/>
      <c r="C45" s="176"/>
      <c r="D45" s="84">
        <f>VLOOKUP($A$4,Luvut!$B$3:$EJ$297,32)</f>
        <v>-84766</v>
      </c>
      <c r="E45" s="84">
        <f t="shared" si="4"/>
        <v>-15.445333838666357</v>
      </c>
      <c r="F45" s="88"/>
      <c r="G45" s="84">
        <f>VLOOKUP($A$4,Luvut!$B$3:$EJ$297,78)</f>
        <v>103368</v>
      </c>
      <c r="H45" s="84">
        <f t="shared" si="3"/>
        <v>18.809886363305509</v>
      </c>
      <c r="I45" s="237"/>
      <c r="J45" s="83">
        <f>VLOOKUP($A$4,Luvut!$B$3:$EJ$297,124)</f>
        <v>75433</v>
      </c>
      <c r="K45" s="84">
        <f>J45*1000/$J$6</f>
        <v>13.705960247573254</v>
      </c>
      <c r="L45" s="81"/>
      <c r="M45" s="181"/>
      <c r="N45" s="186"/>
      <c r="O45" s="182"/>
      <c r="P45" s="3"/>
      <c r="Q45" s="184"/>
      <c r="R45" s="159"/>
      <c r="S45" s="187"/>
    </row>
    <row r="46" spans="1:23" s="188" customFormat="1" ht="10.5" x14ac:dyDescent="0.25">
      <c r="A46" s="20" t="s">
        <v>388</v>
      </c>
      <c r="B46" s="175"/>
      <c r="C46" s="176"/>
      <c r="D46" s="84">
        <f>VLOOKUP($A$4,Luvut!$B$3:$EJ$297,33)</f>
        <v>-64631</v>
      </c>
      <c r="E46" s="84">
        <f t="shared" si="4"/>
        <v>-11.776506751844435</v>
      </c>
      <c r="F46" s="185"/>
      <c r="G46" s="84">
        <f>VLOOKUP($A$4,Luvut!$B$3:$EJ$297,79)</f>
        <v>-54303</v>
      </c>
      <c r="H46" s="84">
        <f t="shared" si="3"/>
        <v>-9.8815229005744438</v>
      </c>
      <c r="I46" s="237"/>
      <c r="J46" s="83">
        <f>VLOOKUP($A$4,Luvut!$B$3:$EJ$297,125)</f>
        <v>-68982</v>
      </c>
      <c r="K46" s="84">
        <f t="shared" ref="K46:K47" si="5">J46*1000/$J$6</f>
        <v>-12.533832007186485</v>
      </c>
      <c r="L46" s="81"/>
      <c r="N46" s="186"/>
      <c r="O46" s="182"/>
      <c r="P46" s="183"/>
      <c r="R46" s="159"/>
      <c r="S46" s="187"/>
    </row>
    <row r="47" spans="1:23" s="189" customFormat="1" ht="10.5" x14ac:dyDescent="0.25">
      <c r="A47" s="119" t="s">
        <v>381</v>
      </c>
      <c r="B47" s="175"/>
      <c r="C47" s="176"/>
      <c r="D47" s="177">
        <f>VLOOKUP($A$4,Luvut!$B$3:$AV$297,30)</f>
        <v>-26068</v>
      </c>
      <c r="E47" s="178">
        <f t="shared" ref="E47" si="6">D47*1000/$D$6</f>
        <v>-4.7498874844436996</v>
      </c>
      <c r="F47" s="185" t="s">
        <v>308</v>
      </c>
      <c r="G47" s="84">
        <f>VLOOKUP($A$4,Luvut!$B$3:$EJ$297,76)</f>
        <v>-36500</v>
      </c>
      <c r="H47" s="84">
        <f t="shared" ref="H47" si="7">G47*1000/$G$6</f>
        <v>-6.6419090265909286</v>
      </c>
      <c r="I47" s="237"/>
      <c r="J47" s="83">
        <f>VLOOKUP($A$4,Luvut!$B$3:$EJ$297,122)</f>
        <v>-45422</v>
      </c>
      <c r="K47" s="84">
        <f t="shared" si="5"/>
        <v>-8.2530474244067218</v>
      </c>
      <c r="L47" s="81"/>
      <c r="N47" s="182"/>
      <c r="O47" s="182"/>
      <c r="P47" s="188"/>
      <c r="R47" s="159"/>
      <c r="S47" s="187"/>
    </row>
    <row r="48" spans="1:23" s="8" customFormat="1" ht="10.5" x14ac:dyDescent="0.25">
      <c r="A48" s="42" t="s">
        <v>382</v>
      </c>
      <c r="B48" s="32"/>
      <c r="C48" s="103"/>
      <c r="D48" s="86">
        <f>VLOOKUP($A$4,Luvut!$B$3:$AV$297,34)</f>
        <v>288815</v>
      </c>
      <c r="E48" s="87">
        <f t="shared" si="2"/>
        <v>52.625393348918486</v>
      </c>
      <c r="F48" s="88"/>
      <c r="G48" s="87">
        <f>VLOOKUP($A$4,Luvut!$B$3:$EJ$297,80)</f>
        <v>176111</v>
      </c>
      <c r="H48" s="87">
        <f t="shared" si="3"/>
        <v>32.046938098135755</v>
      </c>
      <c r="I48" s="237"/>
      <c r="J48" s="86">
        <f>VLOOKUP($A$4,Luvut!$B$3:$EJ$297,126)</f>
        <v>2084529</v>
      </c>
      <c r="K48" s="87">
        <f>J48*1000/$J$6</f>
        <v>378.75295439547182</v>
      </c>
      <c r="L48" s="81"/>
      <c r="M48" s="58"/>
      <c r="N48" s="145"/>
      <c r="O48" s="145"/>
      <c r="P48" s="189"/>
      <c r="R48" s="159"/>
      <c r="S48" s="159"/>
    </row>
    <row r="49" spans="1:22" s="3" customFormat="1" x14ac:dyDescent="0.25">
      <c r="A49" s="42" t="s">
        <v>400</v>
      </c>
      <c r="B49" s="10"/>
      <c r="C49" s="39"/>
      <c r="D49" s="86">
        <f>VLOOKUP($A$4,Luvut!$B$3:$AW$297,35)</f>
        <v>12553814</v>
      </c>
      <c r="E49" s="87">
        <f t="shared" si="2"/>
        <v>2287.4483658368149</v>
      </c>
      <c r="F49" s="88"/>
      <c r="G49" s="87">
        <f>VLOOKUP($A$4,Luvut!$B$3:$EJ$297,81)</f>
        <v>12668228</v>
      </c>
      <c r="H49" s="87">
        <f t="shared" si="3"/>
        <v>2305.2388466879984</v>
      </c>
      <c r="I49" s="237"/>
      <c r="J49" s="86">
        <f>VLOOKUP($A$4,Luvut!$B$3:$EJ$297,127)</f>
        <v>14696103</v>
      </c>
      <c r="K49" s="87">
        <f>J49*1000/$J$6</f>
        <v>2670.2398620264607</v>
      </c>
      <c r="L49" s="81"/>
      <c r="M49" s="14"/>
      <c r="N49" s="145"/>
      <c r="O49" s="145"/>
      <c r="P49" s="8"/>
      <c r="R49" s="159"/>
      <c r="S49" s="159"/>
    </row>
    <row r="50" spans="1:22" s="3" customFormat="1" ht="10.5" x14ac:dyDescent="0.25">
      <c r="A50" s="42"/>
      <c r="B50" s="10"/>
      <c r="C50" s="39"/>
      <c r="D50" s="48"/>
      <c r="E50" s="11"/>
      <c r="F50" s="43"/>
      <c r="G50" s="10"/>
      <c r="H50" s="10"/>
      <c r="I50" s="237"/>
      <c r="J50" s="20"/>
      <c r="K50" s="10"/>
      <c r="L50" s="180"/>
      <c r="N50" s="145"/>
      <c r="O50" s="145"/>
      <c r="R50" s="159"/>
      <c r="S50" s="159"/>
    </row>
    <row r="51" spans="1:22" s="3" customFormat="1" ht="15.5" x14ac:dyDescent="0.35">
      <c r="A51" s="52" t="s">
        <v>297</v>
      </c>
      <c r="B51" s="10"/>
      <c r="C51" s="39"/>
      <c r="D51" s="55">
        <v>1000</v>
      </c>
      <c r="E51" s="40" t="s">
        <v>318</v>
      </c>
      <c r="F51" s="41"/>
      <c r="G51" s="56">
        <v>1000</v>
      </c>
      <c r="H51" s="40" t="s">
        <v>318</v>
      </c>
      <c r="I51" s="237"/>
      <c r="J51" s="55">
        <v>1000</v>
      </c>
      <c r="K51" s="40" t="s">
        <v>318</v>
      </c>
      <c r="L51" s="180"/>
      <c r="N51" s="145"/>
      <c r="O51" s="145"/>
      <c r="R51" s="159"/>
      <c r="S51" s="159"/>
    </row>
    <row r="52" spans="1:22" s="3" customFormat="1" ht="10.5" x14ac:dyDescent="0.25">
      <c r="A52" s="20"/>
      <c r="B52" s="10"/>
      <c r="C52" s="39"/>
      <c r="D52" s="49"/>
      <c r="E52" s="11" t="s">
        <v>308</v>
      </c>
      <c r="F52" s="39"/>
      <c r="G52" s="10"/>
      <c r="H52" s="10"/>
      <c r="I52" s="237"/>
      <c r="J52" s="20"/>
      <c r="K52" s="175"/>
      <c r="L52" s="180"/>
      <c r="N52" s="145"/>
      <c r="O52" s="145"/>
      <c r="R52" s="159"/>
      <c r="S52" s="159"/>
    </row>
    <row r="53" spans="1:22" s="4" customFormat="1" ht="10.5" x14ac:dyDescent="0.25">
      <c r="A53" s="42" t="s">
        <v>383</v>
      </c>
      <c r="B53" s="32"/>
      <c r="C53" s="103"/>
      <c r="D53" s="86">
        <f>VLOOKUP($A$4,Luvut!$B$3:$AV$297,36)</f>
        <v>4083711</v>
      </c>
      <c r="E53" s="87">
        <f t="shared" si="2"/>
        <v>744.09880961274609</v>
      </c>
      <c r="F53" s="88" t="s">
        <v>308</v>
      </c>
      <c r="G53" s="87">
        <f>VLOOKUP($A$4,Luvut!$B$3:$EJ$297,82)</f>
        <v>3883613</v>
      </c>
      <c r="H53" s="87">
        <f t="shared" ref="H53:H71" si="8">G53*1000/$G$6</f>
        <v>706.70148604070891</v>
      </c>
      <c r="I53" s="237"/>
      <c r="J53" s="86">
        <f>VLOOKUP($A$4,Luvut!$B$3:$EJ$297,128)</f>
        <v>6368334</v>
      </c>
      <c r="K53" s="87">
        <f t="shared" ref="K53:K62" si="9">J53*1000/$J$6</f>
        <v>1157.1080647365102</v>
      </c>
      <c r="L53" s="180"/>
      <c r="M53" s="54"/>
      <c r="N53" s="145"/>
      <c r="O53" s="145"/>
      <c r="P53" s="3"/>
      <c r="R53" s="159"/>
      <c r="S53" s="159"/>
    </row>
    <row r="54" spans="1:22" s="4" customFormat="1" ht="10.5" x14ac:dyDescent="0.25">
      <c r="A54" s="42" t="s">
        <v>299</v>
      </c>
      <c r="B54" s="32"/>
      <c r="C54" s="103"/>
      <c r="D54" s="86">
        <f>D55+D56+D57</f>
        <v>-6237260</v>
      </c>
      <c r="E54" s="87">
        <f t="shared" si="2"/>
        <v>-1136.500046463914</v>
      </c>
      <c r="F54" s="88"/>
      <c r="G54" s="87">
        <f>G55+G56+G57</f>
        <v>-6830931</v>
      </c>
      <c r="H54" s="87">
        <f t="shared" si="8"/>
        <v>-1243.0252676416383</v>
      </c>
      <c r="I54" s="237">
        <f t="shared" si="0"/>
        <v>9.5181377720345175</v>
      </c>
      <c r="J54" s="86">
        <f>J55+J56+J57</f>
        <v>-7265469</v>
      </c>
      <c r="K54" s="198">
        <f>J54*1000/$J$6</f>
        <v>-1320.1149270740366</v>
      </c>
      <c r="L54" s="81">
        <f t="shared" si="1"/>
        <v>6.3613290779836573</v>
      </c>
      <c r="N54" s="145"/>
      <c r="O54" s="145"/>
      <c r="Q54" s="71"/>
      <c r="R54" s="159"/>
      <c r="S54" s="159"/>
      <c r="T54" s="71"/>
      <c r="U54" s="71"/>
      <c r="V54" s="71"/>
    </row>
    <row r="55" spans="1:22" s="4" customFormat="1" ht="10.5" x14ac:dyDescent="0.25">
      <c r="A55" s="105" t="s">
        <v>331</v>
      </c>
      <c r="B55" s="32"/>
      <c r="C55" s="103"/>
      <c r="D55" s="83">
        <f>VLOOKUP($A$4,Luvut!$B$3:$EV$297,146)</f>
        <v>-7989989</v>
      </c>
      <c r="E55" s="84">
        <f t="shared" si="2"/>
        <v>-1455.8672990617933</v>
      </c>
      <c r="F55" s="85"/>
      <c r="G55" s="84">
        <f>VLOOKUP($A$4,Luvut!$B$3:$EV$297,149)</f>
        <v>-8899040</v>
      </c>
      <c r="H55" s="84">
        <f t="shared" si="8"/>
        <v>-1619.3592905203764</v>
      </c>
      <c r="I55" s="237">
        <f t="shared" si="0"/>
        <v>11.377374862468525</v>
      </c>
      <c r="J55" s="83">
        <f>VLOOKUP($A$4,Luvut!$B$3:$FQ$297,152)</f>
        <v>-9180621</v>
      </c>
      <c r="K55" s="178">
        <f t="shared" si="9"/>
        <v>-1668.0925652438084</v>
      </c>
      <c r="L55" s="81">
        <f t="shared" si="1"/>
        <v>3.1641727647027107</v>
      </c>
      <c r="N55" s="145"/>
      <c r="O55" s="145"/>
      <c r="P55" s="71"/>
      <c r="Q55" s="71"/>
      <c r="R55" s="159"/>
      <c r="S55" s="159"/>
      <c r="T55" s="71"/>
      <c r="U55" s="71"/>
      <c r="V55" s="71"/>
    </row>
    <row r="56" spans="1:22" s="4" customFormat="1" ht="10.5" x14ac:dyDescent="0.25">
      <c r="A56" s="105" t="s">
        <v>332</v>
      </c>
      <c r="B56" s="32"/>
      <c r="C56" s="103"/>
      <c r="D56" s="83">
        <f>VLOOKUP($A$4,Luvut!$B$3:$EV$297,147)</f>
        <v>167734</v>
      </c>
      <c r="E56" s="84">
        <f t="shared" si="2"/>
        <v>30.563051531213727</v>
      </c>
      <c r="F56" s="85"/>
      <c r="G56" s="84">
        <f>VLOOKUP($A$4,Luvut!$B$3:$EV$297,150)</f>
        <v>189104</v>
      </c>
      <c r="H56" s="84">
        <f t="shared" si="8"/>
        <v>34.411275741491806</v>
      </c>
      <c r="I56" s="237">
        <f>((G56/D56)-1)*100</f>
        <v>12.740410411723314</v>
      </c>
      <c r="J56" s="46">
        <f>VLOOKUP($A$4,Luvut!$B$3:$FQ$297,153)</f>
        <v>203417</v>
      </c>
      <c r="K56" s="84">
        <f t="shared" si="9"/>
        <v>36.960286819834934</v>
      </c>
      <c r="L56" s="81">
        <f t="shared" si="1"/>
        <v>7.5688510026229006</v>
      </c>
      <c r="N56" s="145"/>
      <c r="O56" s="145"/>
      <c r="P56" s="71"/>
      <c r="Q56" s="71"/>
      <c r="R56" s="159"/>
      <c r="S56" s="159"/>
      <c r="T56" s="71"/>
      <c r="U56" s="71"/>
      <c r="V56" s="71"/>
    </row>
    <row r="57" spans="1:22" s="4" customFormat="1" ht="10.5" x14ac:dyDescent="0.25">
      <c r="A57" s="105" t="s">
        <v>333</v>
      </c>
      <c r="B57" s="32"/>
      <c r="C57" s="103"/>
      <c r="D57" s="83">
        <f>VLOOKUP($A$4,Luvut!$B$3:$EV$297,148)</f>
        <v>1584995</v>
      </c>
      <c r="E57" s="84">
        <f t="shared" si="2"/>
        <v>288.80420106666571</v>
      </c>
      <c r="F57" s="85"/>
      <c r="G57" s="84">
        <f>VLOOKUP($A$4,Luvut!$B$3:$EV$297,151)</f>
        <v>1879005</v>
      </c>
      <c r="H57" s="84">
        <f t="shared" si="8"/>
        <v>341.92274713724623</v>
      </c>
      <c r="I57" s="237">
        <f>((G57/D57)-1)*100</f>
        <v>18.54958532992217</v>
      </c>
      <c r="J57" s="83">
        <f>VLOOKUP($A$4,Luvut!$B$3:$FQ$297,154)</f>
        <v>1711735</v>
      </c>
      <c r="K57" s="84">
        <f t="shared" si="9"/>
        <v>311.01735134993709</v>
      </c>
      <c r="L57" s="81">
        <f t="shared" si="1"/>
        <v>-8.9020518838427769</v>
      </c>
      <c r="N57" s="145"/>
      <c r="O57" s="145"/>
      <c r="P57" s="71"/>
      <c r="Q57" s="71"/>
      <c r="R57" s="159"/>
      <c r="S57" s="159"/>
      <c r="T57" s="71"/>
      <c r="U57" s="71"/>
      <c r="V57" s="71"/>
    </row>
    <row r="58" spans="1:22" s="3" customFormat="1" ht="10.5" x14ac:dyDescent="0.25">
      <c r="A58" s="20" t="s">
        <v>352</v>
      </c>
      <c r="B58" s="10"/>
      <c r="C58" s="39"/>
      <c r="D58" s="83">
        <f>VLOOKUP($A$4,Luvut!$B$3:$AV$297,38)</f>
        <v>-120148</v>
      </c>
      <c r="E58" s="84">
        <f t="shared" si="2"/>
        <v>-21.892338556120208</v>
      </c>
      <c r="F58" s="85"/>
      <c r="G58" s="84">
        <f>VLOOKUP($A$4,Luvut!$B$3:$EJ$297,84)</f>
        <v>-198386</v>
      </c>
      <c r="H58" s="84">
        <f t="shared" si="8"/>
        <v>-36.100322305459393</v>
      </c>
      <c r="I58" s="237"/>
      <c r="J58" s="83">
        <f>VLOOKUP($A$4,Luvut!$B$3:$EJ$297,130)</f>
        <v>130334</v>
      </c>
      <c r="K58" s="84">
        <f t="shared" si="9"/>
        <v>23.681314847708727</v>
      </c>
      <c r="L58" s="180"/>
      <c r="M58" s="27"/>
      <c r="N58" s="145"/>
      <c r="O58" s="145"/>
      <c r="P58" s="71"/>
      <c r="R58" s="159"/>
      <c r="S58" s="159"/>
    </row>
    <row r="59" spans="1:22" s="4" customFormat="1" ht="10.5" x14ac:dyDescent="0.25">
      <c r="A59" s="20" t="s">
        <v>298</v>
      </c>
      <c r="B59" s="10"/>
      <c r="C59" s="39"/>
      <c r="D59" s="83">
        <f>VLOOKUP($A$4,Luvut!$B$3:$AV$297,39)</f>
        <v>-2961293</v>
      </c>
      <c r="E59" s="84">
        <f t="shared" si="2"/>
        <v>-539.58142390941907</v>
      </c>
      <c r="F59" s="85"/>
      <c r="G59" s="84">
        <f>VLOOKUP($A$4,Luvut!$B$3:$EJ$297,85)</f>
        <v>-3191200</v>
      </c>
      <c r="H59" s="84">
        <f t="shared" si="8"/>
        <v>-580.70301604539645</v>
      </c>
      <c r="I59" s="237"/>
      <c r="J59" s="83">
        <f>VLOOKUP($A$4,Luvut!$B$3:$EJ$297,131)</f>
        <v>-3269367</v>
      </c>
      <c r="K59" s="84">
        <f t="shared" si="9"/>
        <v>-594.03462856744159</v>
      </c>
      <c r="L59" s="180"/>
      <c r="M59" s="54"/>
      <c r="N59" s="145"/>
      <c r="O59" s="145"/>
      <c r="P59" s="3"/>
      <c r="R59" s="159"/>
      <c r="S59" s="159"/>
    </row>
    <row r="60" spans="1:22" s="4" customFormat="1" ht="10.5" x14ac:dyDescent="0.25">
      <c r="A60" s="20" t="s">
        <v>334</v>
      </c>
      <c r="B60" s="32"/>
      <c r="C60" s="103"/>
      <c r="D60" s="83">
        <f>VLOOKUP($A$4,Luvut!$B$3:$FE$297,155)</f>
        <v>4325546</v>
      </c>
      <c r="E60" s="84">
        <f t="shared" si="2"/>
        <v>788.16391011145868</v>
      </c>
      <c r="F60" s="88"/>
      <c r="G60" s="84">
        <f>VLOOKUP($A$4,Luvut!$B$3:$FE$297,157)</f>
        <v>5848370</v>
      </c>
      <c r="H60" s="84">
        <f t="shared" si="8"/>
        <v>1064.2285340779065</v>
      </c>
      <c r="I60" s="237"/>
      <c r="J60" s="83">
        <f>VLOOKUP($A$4,Luvut!$B$3:$FE$297,159)</f>
        <v>6260610</v>
      </c>
      <c r="K60" s="84">
        <f t="shared" si="9"/>
        <v>1137.5349221900174</v>
      </c>
      <c r="L60" s="180"/>
      <c r="M60" s="54"/>
      <c r="N60" s="145"/>
      <c r="O60" s="145"/>
      <c r="R60" s="159"/>
      <c r="S60" s="159"/>
    </row>
    <row r="61" spans="1:22" s="4" customFormat="1" ht="10.5" x14ac:dyDescent="0.25">
      <c r="A61" s="20" t="s">
        <v>335</v>
      </c>
      <c r="B61" s="10"/>
      <c r="C61" s="39"/>
      <c r="D61" s="83">
        <f>VLOOKUP($A$4,Luvut!$B$3:$FE$297,156)</f>
        <v>64935</v>
      </c>
      <c r="E61" s="84">
        <f t="shared" si="2"/>
        <v>11.831899025715499</v>
      </c>
      <c r="F61" s="85"/>
      <c r="G61" s="84">
        <f>VLOOKUP($A$4,Luvut!$B$3:$FE$297,158)</f>
        <v>541869</v>
      </c>
      <c r="H61" s="84">
        <f t="shared" si="8"/>
        <v>98.603961707665746</v>
      </c>
      <c r="I61" s="237"/>
      <c r="J61" s="83">
        <f>VLOOKUP($A$4,Luvut!$B$3:$FE$297,160)</f>
        <v>-989476</v>
      </c>
      <c r="K61" s="84">
        <f t="shared" si="9"/>
        <v>-179.78495780265655</v>
      </c>
      <c r="L61" s="180"/>
      <c r="M61" s="54"/>
      <c r="R61" s="159"/>
      <c r="S61" s="159"/>
    </row>
    <row r="62" spans="1:22" s="4" customFormat="1" ht="10.5" x14ac:dyDescent="0.25">
      <c r="A62" s="42" t="s">
        <v>327</v>
      </c>
      <c r="B62" s="32"/>
      <c r="C62" s="103"/>
      <c r="D62" s="86">
        <f>VLOOKUP($A$4,Luvut!$B$3:$AV$297,40)</f>
        <v>-2153549</v>
      </c>
      <c r="E62" s="87">
        <f t="shared" si="2"/>
        <v>-392.40123685116788</v>
      </c>
      <c r="F62" s="88"/>
      <c r="G62" s="87">
        <f>VLOOKUP($A$4,Luvut!$B$3:$EJ$297,86)</f>
        <v>-2947318</v>
      </c>
      <c r="H62" s="87">
        <f t="shared" si="8"/>
        <v>-536.32378160092935</v>
      </c>
      <c r="I62" s="237"/>
      <c r="J62" s="86">
        <f>VLOOKUP($A$4,Luvut!$B$3:$EJ$297,132)</f>
        <v>-897135</v>
      </c>
      <c r="K62" s="87">
        <f t="shared" si="9"/>
        <v>-163.00686233752643</v>
      </c>
      <c r="L62" s="180"/>
      <c r="Q62" s="113"/>
      <c r="R62" s="159"/>
    </row>
    <row r="63" spans="1:22" s="4" customFormat="1" ht="10.5" x14ac:dyDescent="0.25">
      <c r="A63" s="42"/>
      <c r="B63" s="32"/>
      <c r="C63" s="103"/>
      <c r="D63" s="86"/>
      <c r="E63" s="87"/>
      <c r="F63" s="88"/>
      <c r="G63" s="87"/>
      <c r="H63" s="87"/>
      <c r="I63" s="237"/>
      <c r="J63" s="86"/>
      <c r="K63" s="87"/>
      <c r="L63" s="180"/>
      <c r="N63" s="145"/>
      <c r="O63" s="145"/>
      <c r="R63" s="159"/>
    </row>
    <row r="64" spans="1:22" s="210" customFormat="1" ht="13" x14ac:dyDescent="0.3">
      <c r="A64" s="20" t="s">
        <v>398</v>
      </c>
      <c r="B64" s="206"/>
      <c r="C64" s="207"/>
      <c r="D64" s="86">
        <f>VLOOKUP($A$4,Luvut!$B$3:$FR$297,173)</f>
        <v>1508183</v>
      </c>
      <c r="E64" s="87">
        <f t="shared" si="2"/>
        <v>274.80817692000738</v>
      </c>
      <c r="F64" s="208"/>
      <c r="G64" s="87">
        <f>VLOOKUP($A$4,Luvut!$B$3:$FS$297,174)</f>
        <v>1443994</v>
      </c>
      <c r="H64" s="87">
        <f t="shared" si="8"/>
        <v>262.7637474778943</v>
      </c>
      <c r="I64" s="237"/>
      <c r="J64" s="86">
        <f>VLOOKUP($A$4,Luvut!$B$3:$FT$297,175)</f>
        <v>1487603</v>
      </c>
      <c r="K64" s="87">
        <f>J64*1000/$J$6</f>
        <v>270.29320830632105</v>
      </c>
      <c r="L64" s="81">
        <f t="shared" ref="L64" si="10">((J64/G64)-1)*100</f>
        <v>3.0200263990016518</v>
      </c>
      <c r="M64" s="209"/>
      <c r="N64" s="182"/>
      <c r="O64" s="182"/>
      <c r="P64" s="4"/>
      <c r="R64" s="159"/>
      <c r="T64" s="211"/>
    </row>
    <row r="65" spans="1:20" s="205" customFormat="1" x14ac:dyDescent="0.25">
      <c r="A65" s="20"/>
      <c r="B65" s="212"/>
      <c r="C65" s="202"/>
      <c r="D65" s="83"/>
      <c r="E65" s="178"/>
      <c r="F65" s="213"/>
      <c r="G65" s="84"/>
      <c r="H65" s="84"/>
      <c r="I65" s="237"/>
      <c r="J65" s="83"/>
      <c r="K65" s="178"/>
      <c r="L65" s="81"/>
      <c r="M65" s="189"/>
      <c r="N65" s="145" t="s">
        <v>401</v>
      </c>
      <c r="O65" s="145" t="s">
        <v>412</v>
      </c>
      <c r="P65" s="189"/>
      <c r="Q65" s="214"/>
      <c r="R65" s="159"/>
      <c r="T65" s="214"/>
    </row>
    <row r="66" spans="1:20" s="205" customFormat="1" ht="13" x14ac:dyDescent="0.3">
      <c r="A66" s="42" t="s">
        <v>340</v>
      </c>
      <c r="B66" s="110"/>
      <c r="C66" s="41"/>
      <c r="D66" s="86">
        <f>VLOOKUP($A$4,Luvut!$B$3:$FI$297,161)</f>
        <v>35989235</v>
      </c>
      <c r="E66" s="87">
        <f t="shared" si="2"/>
        <v>6557.6498734541638</v>
      </c>
      <c r="F66" s="111"/>
      <c r="G66" s="87">
        <f>VLOOKUP($A$4,Luvut!$B$3:$FM$297,165)</f>
        <v>39046656</v>
      </c>
      <c r="H66" s="87">
        <f t="shared" si="8"/>
        <v>7105.3242998518035</v>
      </c>
      <c r="I66" s="237">
        <f>((G66/D66)-1)*100</f>
        <v>8.4953764646567222</v>
      </c>
      <c r="J66" s="86">
        <f>VLOOKUP($A$4,Luvut!$B$3:$FQ$297,169)</f>
        <v>41172486</v>
      </c>
      <c r="K66" s="87">
        <f>J66*1000/$J$6</f>
        <v>7480.9228906415801</v>
      </c>
      <c r="L66" s="81">
        <f t="shared" ref="L66" si="11">((J66/G66)-1)*100</f>
        <v>5.4443330563313852</v>
      </c>
      <c r="M66" s="215"/>
      <c r="N66" s="145" t="s">
        <v>369</v>
      </c>
      <c r="O66" s="145" t="s">
        <v>369</v>
      </c>
      <c r="R66" s="159"/>
    </row>
    <row r="67" spans="1:20" s="76" customFormat="1" ht="13" x14ac:dyDescent="0.3">
      <c r="A67" s="119" t="s">
        <v>338</v>
      </c>
      <c r="B67" s="120"/>
      <c r="C67" s="121"/>
      <c r="D67" s="83">
        <f>VLOOKUP($A$4,Luvut!$B$3:$FI$297,162)</f>
        <v>30314309</v>
      </c>
      <c r="E67" s="84">
        <f t="shared" si="2"/>
        <v>5523.6135076975215</v>
      </c>
      <c r="F67" s="98"/>
      <c r="G67" s="84">
        <f>VLOOKUP($A$4,Luvut!$B$3:$FM$297,166)</f>
        <v>32611444</v>
      </c>
      <c r="H67" s="84">
        <f>G67*1000/$G$6</f>
        <v>5934.3080622949201</v>
      </c>
      <c r="I67" s="237"/>
      <c r="J67" s="83">
        <f>VLOOKUP($A$4,Luvut!$B$3:$FQ$297,170)</f>
        <v>35466665</v>
      </c>
      <c r="K67" s="84">
        <f t="shared" ref="K67:K71" si="12">J67*1000/$J$6</f>
        <v>6444.1915422162401</v>
      </c>
      <c r="L67" s="180"/>
      <c r="N67" s="145">
        <f>((H66/E66)-1)*100</f>
        <v>8.3516875247436673</v>
      </c>
      <c r="O67" s="145">
        <f t="shared" ref="O67:O70" si="13">((K66/H66)-1)*100</f>
        <v>5.2861569006443565</v>
      </c>
      <c r="P67" s="205"/>
      <c r="Q67" s="165"/>
      <c r="R67" s="159"/>
    </row>
    <row r="68" spans="1:20" ht="13" x14ac:dyDescent="0.3">
      <c r="A68" s="119" t="s">
        <v>339</v>
      </c>
      <c r="B68" s="120"/>
      <c r="C68" s="121"/>
      <c r="D68" s="83">
        <f>VLOOKUP($A$4,Luvut!$B$3:$FI$297,163)</f>
        <v>5674926</v>
      </c>
      <c r="E68" s="84">
        <f t="shared" si="2"/>
        <v>1034.036365756642</v>
      </c>
      <c r="F68" s="98"/>
      <c r="G68" s="84">
        <f>VLOOKUP($A$4,Luvut!$B$3:$FM$297,167)</f>
        <v>6435212</v>
      </c>
      <c r="H68" s="84">
        <f t="shared" si="8"/>
        <v>1171.0162375568839</v>
      </c>
      <c r="I68" s="237"/>
      <c r="J68" s="83">
        <f>VLOOKUP($A$4,Luvut!$B$3:$FQ$297,171)</f>
        <v>5705821</v>
      </c>
      <c r="K68" s="84">
        <f t="shared" si="12"/>
        <v>1036.73134842534</v>
      </c>
      <c r="L68" s="180"/>
      <c r="N68" s="145">
        <f t="shared" ref="N68:N69" si="14">((H67/E67)-1)*100</f>
        <v>7.4352514712528128</v>
      </c>
      <c r="O68" s="145">
        <f t="shared" si="13"/>
        <v>8.5921302798718902</v>
      </c>
      <c r="P68" s="140"/>
      <c r="R68" s="159"/>
    </row>
    <row r="69" spans="1:20" x14ac:dyDescent="0.25">
      <c r="A69" s="119" t="s">
        <v>341</v>
      </c>
      <c r="B69" s="120"/>
      <c r="C69" s="121"/>
      <c r="D69" s="83">
        <f>VLOOKUP($A$4,Luvut!$B$3:$FI$297,164)</f>
        <v>1170334</v>
      </c>
      <c r="E69" s="84">
        <f t="shared" si="2"/>
        <v>213.24822844939897</v>
      </c>
      <c r="F69" s="98"/>
      <c r="G69" s="84">
        <f>VLOOKUP($A$4,Luvut!$B$3:$FM$297,168)</f>
        <v>1087580</v>
      </c>
      <c r="H69" s="84">
        <f t="shared" si="8"/>
        <v>197.90705257917156</v>
      </c>
      <c r="I69" s="237"/>
      <c r="J69" s="83">
        <f>VLOOKUP($A$4,Luvut!$B$3:$FQ$297,172)</f>
        <v>130334</v>
      </c>
      <c r="K69" s="84">
        <f t="shared" si="12"/>
        <v>23.681314847708727</v>
      </c>
      <c r="L69" s="180"/>
      <c r="N69" s="145">
        <f t="shared" si="14"/>
        <v>13.247103906254655</v>
      </c>
      <c r="O69" s="145">
        <f t="shared" si="13"/>
        <v>-11.467380624175227</v>
      </c>
      <c r="R69" s="159"/>
    </row>
    <row r="70" spans="1:20" x14ac:dyDescent="0.25">
      <c r="A70" s="20" t="s">
        <v>402</v>
      </c>
      <c r="B70" s="29"/>
      <c r="C70" s="106"/>
      <c r="D70" s="46"/>
      <c r="E70" s="11"/>
      <c r="F70" s="45"/>
      <c r="G70" s="84">
        <f>VLOOKUP($A$4,Luvut!$B$3:$FU$297,176)</f>
        <v>6171371</v>
      </c>
      <c r="H70" s="84">
        <f t="shared" si="8"/>
        <v>1123.0050616805886</v>
      </c>
      <c r="I70" s="238"/>
      <c r="J70" s="83">
        <f>VLOOKUP($A$4,Luvut!$B$3:$FV$297,177)</f>
        <v>7234678</v>
      </c>
      <c r="K70" s="84">
        <f t="shared" si="12"/>
        <v>1314.5202904828493</v>
      </c>
      <c r="L70" s="199"/>
      <c r="N70" s="145">
        <f>((H69/E69)-1)*100</f>
        <v>-7.1940461038191739</v>
      </c>
      <c r="O70" s="145">
        <f t="shared" si="13"/>
        <v>-88.034122817207262</v>
      </c>
      <c r="R70" s="159"/>
    </row>
    <row r="71" spans="1:20" x14ac:dyDescent="0.25">
      <c r="A71" s="42" t="s">
        <v>403</v>
      </c>
      <c r="B71" s="29"/>
      <c r="C71" s="106"/>
      <c r="D71" s="46"/>
      <c r="E71" s="11"/>
      <c r="F71" s="45"/>
      <c r="G71" s="86">
        <f>G66+G70</f>
        <v>45218027</v>
      </c>
      <c r="H71" s="84">
        <f t="shared" si="8"/>
        <v>8228.3293615323928</v>
      </c>
      <c r="I71" s="87"/>
      <c r="J71" s="86">
        <f>J66+J70</f>
        <v>48407164</v>
      </c>
      <c r="K71" s="84">
        <f t="shared" si="12"/>
        <v>8795.4431811244285</v>
      </c>
      <c r="L71" s="199"/>
    </row>
    <row r="72" spans="1:20" s="76" customFormat="1" ht="13" x14ac:dyDescent="0.3">
      <c r="A72" s="20"/>
      <c r="B72" s="29"/>
      <c r="C72" s="106"/>
      <c r="D72" s="46"/>
      <c r="E72" s="11"/>
      <c r="F72" s="45"/>
      <c r="G72" s="11"/>
      <c r="H72" s="226"/>
      <c r="I72" s="238"/>
      <c r="J72" s="191"/>
      <c r="K72" s="201"/>
      <c r="L72" s="199"/>
      <c r="M72" s="25"/>
      <c r="N72" s="146"/>
      <c r="O72" s="146"/>
      <c r="P72"/>
    </row>
    <row r="73" spans="1:20" s="205" customFormat="1" ht="13" x14ac:dyDescent="0.3">
      <c r="A73" s="42" t="s">
        <v>312</v>
      </c>
      <c r="B73" s="110"/>
      <c r="C73" s="41"/>
      <c r="D73" s="242">
        <f>VLOOKUP($A$4,Luvut!$B$3:$AV$297,45)</f>
        <v>19.87</v>
      </c>
      <c r="E73" s="243" t="s">
        <v>308</v>
      </c>
      <c r="F73" s="241"/>
      <c r="G73" s="244">
        <f>VLOOKUP($A$4,Luvut!$B$3:$EJ$297,91)</f>
        <v>19.899999999999999</v>
      </c>
      <c r="H73" s="245" t="s">
        <v>308</v>
      </c>
      <c r="I73" s="246"/>
      <c r="J73" s="242">
        <f>VLOOKUP($A$4,Luvut!$B$3:$EJ$297,137)</f>
        <v>19.98</v>
      </c>
      <c r="K73" s="234" t="s">
        <v>308</v>
      </c>
      <c r="L73" s="235"/>
      <c r="M73" s="203"/>
      <c r="N73" s="261"/>
      <c r="O73" s="204"/>
      <c r="P73" s="76"/>
    </row>
    <row r="74" spans="1:20" x14ac:dyDescent="0.25">
      <c r="A74" s="20" t="s">
        <v>396</v>
      </c>
      <c r="B74" s="29"/>
      <c r="C74" s="106"/>
      <c r="D74" s="46" t="s">
        <v>308</v>
      </c>
      <c r="E74" s="11" t="s">
        <v>308</v>
      </c>
      <c r="F74" s="45"/>
      <c r="G74" s="11" t="s">
        <v>308</v>
      </c>
      <c r="H74" s="226"/>
      <c r="I74" s="238"/>
      <c r="J74" s="191"/>
      <c r="K74" s="201"/>
      <c r="L74" s="199"/>
      <c r="M74" s="15"/>
      <c r="P74" s="205"/>
    </row>
    <row r="75" spans="1:20" x14ac:dyDescent="0.25">
      <c r="A75" s="20" t="s">
        <v>354</v>
      </c>
      <c r="B75" s="29"/>
      <c r="C75" s="106"/>
      <c r="D75" s="46" t="str">
        <f>VLOOKUP($A$4,Luvut!$B$3:$AV$297,47)</f>
        <v>-</v>
      </c>
      <c r="E75" s="11"/>
      <c r="F75" s="45"/>
      <c r="G75" s="11" t="str">
        <f>VLOOKUP($A$4,Luvut!$B$3:$EJ$297,93)</f>
        <v>-</v>
      </c>
      <c r="H75" s="227"/>
      <c r="I75" s="238"/>
      <c r="J75" s="46" t="str">
        <f>VLOOKUP($A$4,Luvut!$B$3:$EJ$297,139)</f>
        <v>-</v>
      </c>
      <c r="K75" s="236"/>
      <c r="L75" s="199"/>
      <c r="M75" s="15"/>
      <c r="N75" s="147"/>
      <c r="O75" s="147"/>
    </row>
    <row r="76" spans="1:20" s="66" customFormat="1" ht="13" thickBot="1" x14ac:dyDescent="0.3">
      <c r="A76" s="67" t="s">
        <v>326</v>
      </c>
      <c r="B76" s="68"/>
      <c r="C76" s="107"/>
      <c r="D76" s="67"/>
      <c r="E76" s="68"/>
      <c r="F76" s="69"/>
      <c r="G76" s="23"/>
      <c r="H76" s="23"/>
      <c r="I76" s="239"/>
      <c r="J76" s="228"/>
      <c r="K76" s="196"/>
      <c r="L76" s="197"/>
      <c r="N76" s="148"/>
      <c r="O76" s="148"/>
      <c r="P76"/>
    </row>
    <row r="77" spans="1:20" x14ac:dyDescent="0.25">
      <c r="G77" s="2"/>
      <c r="P77" s="66"/>
    </row>
    <row r="78" spans="1:20" x14ac:dyDescent="0.25">
      <c r="A78" s="8" t="s">
        <v>361</v>
      </c>
      <c r="B78" s="4"/>
      <c r="C78" s="5"/>
      <c r="D78" s="4"/>
      <c r="E78" s="7"/>
      <c r="F78" s="7"/>
      <c r="G78" s="6"/>
    </row>
    <row r="79" spans="1:20" x14ac:dyDescent="0.25">
      <c r="A79" s="8" t="s">
        <v>411</v>
      </c>
      <c r="B79" s="3"/>
      <c r="C79" s="9"/>
      <c r="D79" s="3"/>
      <c r="E79" s="6"/>
      <c r="F79" s="6"/>
      <c r="G79" s="6"/>
    </row>
    <row r="80" spans="1:20" x14ac:dyDescent="0.25">
      <c r="A80" s="3"/>
      <c r="B80" s="3"/>
      <c r="C80" s="9"/>
      <c r="D80" s="3"/>
      <c r="E80" s="6"/>
      <c r="F80" s="6"/>
      <c r="G80" s="6"/>
    </row>
    <row r="81" spans="1:7" x14ac:dyDescent="0.25">
      <c r="A81" s="4"/>
      <c r="B81" s="4"/>
      <c r="C81" s="5"/>
      <c r="D81" s="7"/>
      <c r="E81" s="7"/>
      <c r="F81" s="7"/>
      <c r="G81" s="7"/>
    </row>
    <row r="82" spans="1:7" x14ac:dyDescent="0.25">
      <c r="A82" s="4"/>
      <c r="B82" s="4"/>
      <c r="C82" s="5"/>
      <c r="D82" s="4"/>
      <c r="E82" s="7"/>
      <c r="F82" s="7"/>
      <c r="G82" s="7"/>
    </row>
    <row r="83" spans="1:7" x14ac:dyDescent="0.25">
      <c r="A83" s="3"/>
      <c r="B83" s="3"/>
      <c r="C83" s="9"/>
      <c r="D83" s="3"/>
      <c r="E83" s="6"/>
      <c r="F83" s="6"/>
      <c r="G83" s="6"/>
    </row>
    <row r="84" spans="1:7" x14ac:dyDescent="0.25">
      <c r="A84" s="3"/>
      <c r="B84" s="3"/>
      <c r="C84" s="9"/>
      <c r="D84" s="3"/>
      <c r="E84" s="6"/>
      <c r="F84" s="6"/>
      <c r="G84" s="6"/>
    </row>
    <row r="85" spans="1:7" x14ac:dyDescent="0.25">
      <c r="A85" s="4"/>
      <c r="B85" s="4"/>
      <c r="C85" s="5"/>
      <c r="D85" s="4"/>
      <c r="E85" s="7"/>
      <c r="F85" s="7"/>
      <c r="G85" s="7"/>
    </row>
    <row r="86" spans="1:7" x14ac:dyDescent="0.25">
      <c r="A86" s="4"/>
      <c r="B86" s="4"/>
      <c r="C86" s="5"/>
      <c r="D86" s="4"/>
      <c r="E86" s="7"/>
      <c r="F86" s="7"/>
      <c r="G86" s="7"/>
    </row>
    <row r="87" spans="1:7" x14ac:dyDescent="0.25">
      <c r="A87" s="3"/>
      <c r="B87" s="3"/>
      <c r="C87" s="9"/>
      <c r="D87" s="3"/>
      <c r="E87" s="6"/>
      <c r="F87" s="6"/>
      <c r="G87" s="6"/>
    </row>
    <row r="88" spans="1:7" x14ac:dyDescent="0.25">
      <c r="A88" s="3"/>
      <c r="B88" s="3"/>
      <c r="C88" s="9"/>
      <c r="D88" s="3"/>
      <c r="E88" s="6"/>
      <c r="F88" s="6"/>
      <c r="G88" s="6"/>
    </row>
    <row r="89" spans="1:7" x14ac:dyDescent="0.25">
      <c r="A89" s="3"/>
      <c r="B89" s="3"/>
      <c r="C89" s="9"/>
      <c r="D89" s="3"/>
      <c r="E89" s="6"/>
      <c r="F89" s="6"/>
      <c r="G89" s="6"/>
    </row>
    <row r="90" spans="1:7" x14ac:dyDescent="0.25">
      <c r="A90" s="4"/>
      <c r="B90" s="4"/>
      <c r="C90" s="5"/>
      <c r="D90" s="4"/>
      <c r="E90" s="7"/>
      <c r="F90" s="7"/>
      <c r="G90" s="7"/>
    </row>
  </sheetData>
  <mergeCells count="1">
    <mergeCell ref="G2:H2"/>
  </mergeCells>
  <phoneticPr fontId="12" type="noConversion"/>
  <pageMargins left="0.39370078740157483" right="0.39370078740157483" top="0.51181102362204722" bottom="0.51181102362204722" header="0.51181102362204722" footer="0.55118110236220474"/>
  <pageSetup paperSize="9" scale="83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0" r:id="rId4" name="Drop Down 26">
              <controlPr defaultSize="0" autoLine="0" autoPict="0">
                <anchor moveWithCells="1">
                  <from>
                    <xdr:col>8</xdr:col>
                    <xdr:colOff>19050</xdr:colOff>
                    <xdr:row>0</xdr:row>
                    <xdr:rowOff>76200</xdr:rowOff>
                  </from>
                  <to>
                    <xdr:col>10</xdr:col>
                    <xdr:colOff>488950</xdr:colOff>
                    <xdr:row>1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"/>
  <dimension ref="A1:GF318"/>
  <sheetViews>
    <sheetView zoomScaleNormal="100" workbookViewId="0">
      <pane xSplit="2" ySplit="2" topLeftCell="C3" activePane="bottomRight" state="frozen"/>
      <selection pane="topRight" activeCell="E1" sqref="E1"/>
      <selection pane="bottomLeft" activeCell="A3" sqref="A3"/>
      <selection pane="bottomRight" activeCell="B4" sqref="B4"/>
    </sheetView>
  </sheetViews>
  <sheetFormatPr defaultRowHeight="15.5" x14ac:dyDescent="0.35"/>
  <cols>
    <col min="1" max="1" width="4" style="72" customWidth="1"/>
    <col min="2" max="2" width="26" style="1" customWidth="1"/>
    <col min="3" max="3" width="9.1796875" style="116" customWidth="1"/>
    <col min="4" max="4" width="0" style="116" hidden="1" customWidth="1"/>
    <col min="5" max="5" width="10" style="128" bestFit="1" customWidth="1"/>
    <col min="6" max="6" width="13.54296875" style="116" customWidth="1"/>
    <col min="7" max="7" width="18.54296875" style="116" bestFit="1" customWidth="1"/>
    <col min="8" max="10" width="8" style="127" hidden="1" customWidth="1"/>
    <col min="11" max="11" width="14.26953125" style="116" customWidth="1"/>
    <col min="12" max="12" width="9.1796875" style="116"/>
    <col min="13" max="13" width="11" style="127" customWidth="1"/>
    <col min="14" max="14" width="10.453125" style="116" customWidth="1"/>
    <col min="15" max="15" width="0.1796875" style="116" customWidth="1"/>
    <col min="16" max="17" width="9.1796875" style="116"/>
    <col min="18" max="18" width="29.453125" style="116" bestFit="1" customWidth="1"/>
    <col min="19" max="19" width="9" style="116" bestFit="1" customWidth="1"/>
    <col min="20" max="20" width="8.1796875" style="116" bestFit="1" customWidth="1"/>
    <col min="21" max="21" width="9.1796875" style="116"/>
    <col min="22" max="22" width="0.1796875" style="135" customWidth="1"/>
    <col min="23" max="23" width="9.1796875" style="127" hidden="1" customWidth="1"/>
    <col min="24" max="24" width="16.7265625" style="116" bestFit="1" customWidth="1"/>
    <col min="25" max="25" width="33" style="116" bestFit="1" customWidth="1"/>
    <col min="26" max="26" width="7.54296875" style="116" bestFit="1" customWidth="1"/>
    <col min="27" max="27" width="27.81640625" style="116" bestFit="1" customWidth="1"/>
    <col min="28" max="28" width="12" style="116" bestFit="1" customWidth="1"/>
    <col min="29" max="29" width="0.1796875" style="116" customWidth="1"/>
    <col min="30" max="30" width="11.453125" style="116" bestFit="1" customWidth="1"/>
    <col min="31" max="31" width="15.1796875" style="116" bestFit="1" customWidth="1"/>
    <col min="32" max="32" width="12.1796875" style="116" bestFit="1" customWidth="1"/>
    <col min="33" max="33" width="12.1796875" style="116" customWidth="1"/>
    <col min="34" max="34" width="9.1796875" style="116"/>
    <col min="35" max="35" width="17.1796875" style="116" bestFit="1" customWidth="1"/>
    <col min="36" max="36" width="9.54296875" style="134" bestFit="1" customWidth="1"/>
    <col min="37" max="37" width="18.81640625" style="116" bestFit="1" customWidth="1"/>
    <col min="38" max="38" width="0.453125" style="127" customWidth="1"/>
    <col min="39" max="39" width="9.1796875" style="116"/>
    <col min="40" max="40" width="14.26953125" style="116" customWidth="1"/>
    <col min="41" max="41" width="14.81640625" style="116" bestFit="1" customWidth="1"/>
    <col min="42" max="42" width="7.26953125" style="116" customWidth="1"/>
    <col min="43" max="43" width="6.453125" style="116" customWidth="1"/>
    <col min="44" max="44" width="6.26953125" style="116" customWidth="1"/>
    <col min="45" max="45" width="5.81640625" style="116" customWidth="1"/>
    <col min="46" max="46" width="9.1796875" style="116"/>
    <col min="47" max="47" width="9.1796875" style="127"/>
    <col min="48" max="48" width="21" style="116" bestFit="1" customWidth="1"/>
    <col min="49" max="49" width="9.1796875" style="116" customWidth="1"/>
    <col min="50" max="50" width="0.453125" style="116" customWidth="1"/>
    <col min="51" max="51" width="10.81640625" style="128" bestFit="1" customWidth="1"/>
    <col min="52" max="52" width="21.54296875" style="116" bestFit="1" customWidth="1"/>
    <col min="53" max="53" width="16.453125" style="116" bestFit="1" customWidth="1"/>
    <col min="54" max="54" width="8" style="127" customWidth="1"/>
    <col min="55" max="55" width="0.26953125" style="127" customWidth="1"/>
    <col min="56" max="56" width="0.26953125" style="127" hidden="1" customWidth="1"/>
    <col min="57" max="57" width="14.7265625" style="116" bestFit="1" customWidth="1"/>
    <col min="58" max="58" width="10.453125" style="116" bestFit="1" customWidth="1"/>
    <col min="59" max="59" width="13.54296875" style="127" bestFit="1" customWidth="1"/>
    <col min="60" max="60" width="15.26953125" style="116" customWidth="1"/>
    <col min="61" max="61" width="0.1796875" style="116" customWidth="1"/>
    <col min="62" max="63" width="9.1796875" style="116"/>
    <col min="64" max="64" width="32.81640625" style="116" bestFit="1" customWidth="1"/>
    <col min="65" max="65" width="9" style="116" bestFit="1" customWidth="1"/>
    <col min="66" max="66" width="6.453125" style="116" bestFit="1" customWidth="1"/>
    <col min="67" max="67" width="10.1796875" style="125" bestFit="1" customWidth="1"/>
    <col min="68" max="68" width="9.1796875" style="135" customWidth="1"/>
    <col min="69" max="69" width="0.453125" style="127" customWidth="1"/>
    <col min="70" max="70" width="16.7265625" style="116" bestFit="1" customWidth="1"/>
    <col min="71" max="71" width="37" style="116" bestFit="1" customWidth="1"/>
    <col min="72" max="72" width="7.1796875" style="116" bestFit="1" customWidth="1"/>
    <col min="73" max="73" width="27.81640625" style="116" bestFit="1" customWidth="1"/>
    <col min="74" max="74" width="10.7265625" style="116" customWidth="1"/>
    <col min="75" max="75" width="0.26953125" style="116" customWidth="1"/>
    <col min="76" max="76" width="11.54296875" style="116" customWidth="1"/>
    <col min="77" max="77" width="15.1796875" style="116" bestFit="1" customWidth="1"/>
    <col min="78" max="78" width="11.26953125" style="116" bestFit="1" customWidth="1"/>
    <col min="79" max="79" width="10.7265625" style="116" bestFit="1" customWidth="1"/>
    <col min="80" max="80" width="7.7265625" style="116" bestFit="1" customWidth="1"/>
    <col min="81" max="81" width="13.81640625" style="116" bestFit="1" customWidth="1"/>
    <col min="82" max="82" width="9.54296875" style="134" bestFit="1" customWidth="1"/>
    <col min="83" max="83" width="13.26953125" style="116" bestFit="1" customWidth="1"/>
    <col min="84" max="84" width="0.26953125" style="127" customWidth="1"/>
    <col min="85" max="85" width="13" style="116" bestFit="1" customWidth="1"/>
    <col min="86" max="86" width="21.453125" style="116" bestFit="1" customWidth="1"/>
    <col min="87" max="87" width="13.453125" style="116" bestFit="1" customWidth="1"/>
    <col min="88" max="88" width="7.453125" style="116" customWidth="1"/>
    <col min="89" max="89" width="6.54296875" style="116" customWidth="1"/>
    <col min="90" max="90" width="5.26953125" style="116" customWidth="1"/>
    <col min="91" max="91" width="6.1796875" style="116" customWidth="1"/>
    <col min="92" max="92" width="11.54296875" style="116" customWidth="1"/>
    <col min="93" max="93" width="0.54296875" style="127" customWidth="1"/>
    <col min="94" max="94" width="21" style="116" bestFit="1" customWidth="1"/>
    <col min="95" max="95" width="9.1796875" style="116"/>
    <col min="96" max="96" width="0.453125" style="116" customWidth="1"/>
    <col min="97" max="97" width="11.1796875" style="128" customWidth="1"/>
    <col min="98" max="98" width="21.54296875" style="116" bestFit="1" customWidth="1"/>
    <col min="99" max="99" width="16.453125" style="116" bestFit="1" customWidth="1"/>
    <col min="100" max="100" width="0.453125" style="127" customWidth="1"/>
    <col min="101" max="101" width="8" style="127" hidden="1" customWidth="1"/>
    <col min="102" max="102" width="0.1796875" style="127" customWidth="1"/>
    <col min="103" max="103" width="14.7265625" style="116" bestFit="1" customWidth="1"/>
    <col min="104" max="104" width="10.453125" style="116" bestFit="1" customWidth="1"/>
    <col min="105" max="105" width="13.54296875" style="127" bestFit="1" customWidth="1"/>
    <col min="106" max="106" width="15.26953125" style="116" bestFit="1" customWidth="1"/>
    <col min="107" max="107" width="0.1796875" style="116" customWidth="1"/>
    <col min="108" max="108" width="9.1796875" style="116"/>
    <col min="109" max="109" width="9.7265625" style="116" bestFit="1" customWidth="1"/>
    <col min="110" max="110" width="29.453125" style="116" bestFit="1" customWidth="1"/>
    <col min="111" max="111" width="9" style="116" bestFit="1" customWidth="1"/>
    <col min="112" max="112" width="8.453125" style="116" bestFit="1" customWidth="1"/>
    <col min="113" max="113" width="10.1796875" style="125" customWidth="1"/>
    <col min="114" max="114" width="0.1796875" style="135" customWidth="1"/>
    <col min="115" max="115" width="0.453125" style="127" hidden="1" customWidth="1"/>
    <col min="116" max="116" width="16.7265625" style="116" bestFit="1" customWidth="1"/>
    <col min="117" max="117" width="33" style="116" bestFit="1" customWidth="1"/>
    <col min="118" max="118" width="7.54296875" style="116" bestFit="1" customWidth="1"/>
    <col min="119" max="119" width="25.1796875" style="116" customWidth="1"/>
    <col min="120" max="120" width="6.81640625" style="116" bestFit="1" customWidth="1"/>
    <col min="121" max="121" width="0.26953125" style="116" customWidth="1"/>
    <col min="122" max="122" width="10.54296875" style="116" bestFit="1" customWidth="1"/>
    <col min="123" max="123" width="13.81640625" style="116" bestFit="1" customWidth="1"/>
    <col min="124" max="124" width="11.26953125" style="116" bestFit="1" customWidth="1"/>
    <col min="125" max="125" width="10.7265625" style="116" bestFit="1" customWidth="1"/>
    <col min="126" max="126" width="7.7265625" style="116" bestFit="1" customWidth="1"/>
    <col min="127" max="127" width="17.1796875" style="116" bestFit="1" customWidth="1"/>
    <col min="128" max="128" width="9.54296875" style="134" bestFit="1" customWidth="1"/>
    <col min="129" max="129" width="13.7265625" style="116" customWidth="1"/>
    <col min="130" max="130" width="0.453125" style="127" customWidth="1"/>
    <col min="131" max="131" width="13" style="116" bestFit="1" customWidth="1"/>
    <col min="132" max="132" width="21.453125" style="160" bestFit="1" customWidth="1"/>
    <col min="133" max="133" width="13.453125" style="116" bestFit="1" customWidth="1"/>
    <col min="134" max="134" width="7.26953125" style="116" bestFit="1" customWidth="1"/>
    <col min="135" max="135" width="0.453125" style="116" customWidth="1"/>
    <col min="136" max="136" width="5" style="116" customWidth="1"/>
    <col min="137" max="137" width="5.26953125" style="116" customWidth="1"/>
    <col min="138" max="138" width="11.54296875" style="116" customWidth="1"/>
    <col min="139" max="139" width="0.1796875" style="127" customWidth="1"/>
    <col min="140" max="140" width="21" style="116" bestFit="1" customWidth="1"/>
    <col min="141" max="141" width="11.7265625" style="133" customWidth="1"/>
    <col min="142" max="142" width="7.1796875" style="116" customWidth="1"/>
    <col min="143" max="143" width="7.7265625" style="116" customWidth="1"/>
    <col min="144" max="144" width="6.1796875" style="120" customWidth="1"/>
    <col min="145" max="145" width="7.26953125" style="120" customWidth="1"/>
    <col min="146" max="146" width="6.453125" style="120" customWidth="1"/>
    <col min="147" max="147" width="13.54296875" style="120" bestFit="1" customWidth="1"/>
    <col min="148" max="148" width="22.453125" style="120" bestFit="1" customWidth="1"/>
    <col min="149" max="149" width="22.1796875" style="120" bestFit="1" customWidth="1"/>
    <col min="150" max="150" width="12.1796875" style="123" bestFit="1" customWidth="1"/>
    <col min="151" max="151" width="25.54296875" style="123" bestFit="1" customWidth="1"/>
    <col min="152" max="152" width="25.453125" style="123" bestFit="1" customWidth="1"/>
    <col min="153" max="153" width="13.54296875" style="116" bestFit="1" customWidth="1"/>
    <col min="154" max="154" width="25.54296875" style="116" bestFit="1" customWidth="1"/>
    <col min="155" max="155" width="25.453125" style="116" bestFit="1" customWidth="1"/>
    <col min="156" max="156" width="19.1796875" style="120" bestFit="1" customWidth="1"/>
    <col min="157" max="157" width="21.54296875" style="120" bestFit="1" customWidth="1"/>
    <col min="158" max="158" width="19.1796875" style="139" bestFit="1" customWidth="1"/>
    <col min="159" max="159" width="21.54296875" style="139" bestFit="1" customWidth="1"/>
    <col min="160" max="160" width="19.1796875" style="139" bestFit="1" customWidth="1"/>
    <col min="161" max="161" width="21.54296875" style="139" bestFit="1" customWidth="1"/>
    <col min="162" max="162" width="8.453125" style="116" bestFit="1" customWidth="1"/>
    <col min="163" max="163" width="9.7265625" style="116" bestFit="1" customWidth="1"/>
    <col min="164" max="164" width="9.81640625" style="116" bestFit="1" customWidth="1"/>
    <col min="165" max="165" width="10.81640625" style="116" bestFit="1" customWidth="1"/>
    <col min="166" max="172" width="9.1796875" style="116"/>
    <col min="173" max="173" width="10.81640625" style="116" bestFit="1" customWidth="1"/>
    <col min="174" max="175" width="33" style="152" bestFit="1" customWidth="1"/>
    <col min="176" max="176" width="33" style="3" bestFit="1" customWidth="1"/>
    <col min="177" max="177" width="11.54296875" customWidth="1"/>
    <col min="178" max="178" width="11" customWidth="1"/>
  </cols>
  <sheetData>
    <row r="1" spans="1:188" x14ac:dyDescent="0.35">
      <c r="C1" s="157">
        <v>2018</v>
      </c>
      <c r="D1" s="127" t="s">
        <v>363</v>
      </c>
      <c r="E1" s="129">
        <v>92</v>
      </c>
      <c r="F1" s="116">
        <v>93</v>
      </c>
      <c r="G1" s="129">
        <v>94</v>
      </c>
      <c r="H1" s="127" t="s">
        <v>366</v>
      </c>
      <c r="I1" s="130">
        <v>96</v>
      </c>
      <c r="J1" s="127">
        <v>97</v>
      </c>
      <c r="K1" s="129">
        <v>98</v>
      </c>
      <c r="L1" s="116">
        <v>99</v>
      </c>
      <c r="M1" s="129">
        <v>100</v>
      </c>
      <c r="N1" s="116">
        <v>101</v>
      </c>
      <c r="O1" s="129">
        <v>102</v>
      </c>
      <c r="P1" s="116">
        <v>103</v>
      </c>
      <c r="Q1" s="129">
        <v>104</v>
      </c>
      <c r="R1" s="129"/>
      <c r="S1" s="116">
        <v>105</v>
      </c>
      <c r="T1" s="129">
        <v>106</v>
      </c>
      <c r="U1" s="116">
        <v>107</v>
      </c>
      <c r="V1" s="129">
        <v>108</v>
      </c>
      <c r="W1" s="127" t="s">
        <v>364</v>
      </c>
      <c r="X1" s="129">
        <v>110</v>
      </c>
      <c r="Y1" s="116">
        <v>111</v>
      </c>
      <c r="Z1" s="129">
        <v>112</v>
      </c>
      <c r="AA1" s="116">
        <v>113</v>
      </c>
      <c r="AB1" s="129">
        <v>114</v>
      </c>
      <c r="AC1" s="116">
        <v>115</v>
      </c>
      <c r="AD1" s="129">
        <v>116</v>
      </c>
      <c r="AE1" s="129"/>
      <c r="AF1" s="116">
        <v>117</v>
      </c>
      <c r="AG1" s="129">
        <v>118</v>
      </c>
      <c r="AH1" s="116">
        <v>119</v>
      </c>
      <c r="AI1" s="129">
        <v>120</v>
      </c>
      <c r="AJ1" s="116">
        <v>121</v>
      </c>
      <c r="AK1" s="129">
        <v>122</v>
      </c>
      <c r="AL1" s="127" t="s">
        <v>365</v>
      </c>
      <c r="AM1" s="129">
        <v>124</v>
      </c>
      <c r="AN1" s="116">
        <v>125</v>
      </c>
      <c r="AO1" s="129">
        <v>126</v>
      </c>
      <c r="AP1" s="116">
        <v>127</v>
      </c>
      <c r="AQ1" s="129">
        <v>128</v>
      </c>
      <c r="AR1" s="116">
        <v>129</v>
      </c>
      <c r="AS1" s="129">
        <v>130</v>
      </c>
      <c r="AT1" s="116">
        <v>131</v>
      </c>
      <c r="AU1" s="130" t="s">
        <v>365</v>
      </c>
      <c r="AV1" s="116">
        <v>133</v>
      </c>
      <c r="AW1" s="157">
        <v>2019</v>
      </c>
      <c r="AX1" s="127" t="s">
        <v>363</v>
      </c>
      <c r="AY1" s="129">
        <v>92</v>
      </c>
      <c r="AZ1" s="116">
        <v>93</v>
      </c>
      <c r="BA1" s="129">
        <v>94</v>
      </c>
      <c r="BB1" s="127" t="s">
        <v>366</v>
      </c>
      <c r="BC1" s="130">
        <v>96</v>
      </c>
      <c r="BD1" s="127">
        <v>97</v>
      </c>
      <c r="BE1" s="129">
        <v>98</v>
      </c>
      <c r="BF1" s="116">
        <v>99</v>
      </c>
      <c r="BG1" s="129">
        <v>100</v>
      </c>
      <c r="BH1" s="116">
        <v>101</v>
      </c>
      <c r="BI1" s="129">
        <v>102</v>
      </c>
      <c r="BJ1" s="116">
        <v>103</v>
      </c>
      <c r="BK1" s="129">
        <v>104</v>
      </c>
      <c r="BL1" s="129"/>
      <c r="BM1" s="116">
        <v>105</v>
      </c>
      <c r="BN1" s="129">
        <v>106</v>
      </c>
      <c r="BO1" s="125">
        <v>107</v>
      </c>
      <c r="BP1" s="129">
        <v>108</v>
      </c>
      <c r="BQ1" s="127" t="s">
        <v>364</v>
      </c>
      <c r="BR1" s="129">
        <v>110</v>
      </c>
      <c r="BS1" s="116">
        <v>111</v>
      </c>
      <c r="BT1" s="129">
        <v>112</v>
      </c>
      <c r="BU1" s="116">
        <v>113</v>
      </c>
      <c r="BV1" s="129">
        <v>114</v>
      </c>
      <c r="BW1" s="116">
        <v>115</v>
      </c>
      <c r="BX1" s="129">
        <v>116</v>
      </c>
      <c r="BY1" s="116">
        <v>117</v>
      </c>
      <c r="CA1" s="129">
        <v>118</v>
      </c>
      <c r="CB1" s="116">
        <v>119</v>
      </c>
      <c r="CC1" s="129">
        <v>120</v>
      </c>
      <c r="CD1" s="116">
        <v>121</v>
      </c>
      <c r="CE1" s="129">
        <v>122</v>
      </c>
      <c r="CF1" s="127" t="s">
        <v>365</v>
      </c>
      <c r="CG1" s="129">
        <v>124</v>
      </c>
      <c r="CH1" s="116">
        <v>125</v>
      </c>
      <c r="CI1" s="129">
        <v>126</v>
      </c>
      <c r="CJ1" s="116">
        <v>127</v>
      </c>
      <c r="CK1" s="129">
        <v>128</v>
      </c>
      <c r="CL1" s="116">
        <v>129</v>
      </c>
      <c r="CM1" s="129">
        <v>130</v>
      </c>
      <c r="CN1" s="116">
        <v>131</v>
      </c>
      <c r="CO1" s="130" t="s">
        <v>365</v>
      </c>
      <c r="CP1" s="116">
        <v>133</v>
      </c>
      <c r="CQ1" s="157">
        <v>2020</v>
      </c>
      <c r="CR1" s="127" t="s">
        <v>363</v>
      </c>
      <c r="CS1" s="129">
        <v>92</v>
      </c>
      <c r="CT1" s="116">
        <v>93</v>
      </c>
      <c r="CU1" s="129">
        <v>94</v>
      </c>
      <c r="CV1" s="127" t="s">
        <v>366</v>
      </c>
      <c r="CW1" s="130">
        <v>96</v>
      </c>
      <c r="CX1" s="127">
        <v>97</v>
      </c>
      <c r="CY1" s="129">
        <v>98</v>
      </c>
      <c r="CZ1" s="116">
        <v>99</v>
      </c>
      <c r="DA1" s="129">
        <v>100</v>
      </c>
      <c r="DB1" s="116">
        <v>101</v>
      </c>
      <c r="DC1" s="129">
        <v>102</v>
      </c>
      <c r="DD1" s="116">
        <v>107</v>
      </c>
      <c r="DE1" s="129">
        <v>108</v>
      </c>
      <c r="DF1" s="129">
        <v>109</v>
      </c>
      <c r="DG1" s="116">
        <v>110</v>
      </c>
      <c r="DH1" s="129">
        <v>111</v>
      </c>
      <c r="DI1" s="125">
        <v>112</v>
      </c>
      <c r="DJ1" s="129">
        <v>113</v>
      </c>
      <c r="DK1" s="127" t="s">
        <v>364</v>
      </c>
      <c r="DL1" s="129">
        <v>115</v>
      </c>
      <c r="DM1" s="116">
        <v>116</v>
      </c>
      <c r="DN1" s="129">
        <v>117</v>
      </c>
      <c r="DO1" s="116">
        <v>118</v>
      </c>
      <c r="DP1" s="129">
        <v>119</v>
      </c>
      <c r="DQ1" s="116">
        <v>120</v>
      </c>
      <c r="DR1" s="129">
        <v>121</v>
      </c>
      <c r="DS1" s="116">
        <v>122</v>
      </c>
      <c r="DT1" s="129">
        <v>123</v>
      </c>
      <c r="DU1" s="116">
        <v>124</v>
      </c>
      <c r="DV1" s="116">
        <v>125</v>
      </c>
      <c r="DW1" s="129">
        <v>126</v>
      </c>
      <c r="DX1" s="116">
        <v>127</v>
      </c>
      <c r="DY1" s="129">
        <v>128</v>
      </c>
      <c r="DZ1" s="127" t="s">
        <v>365</v>
      </c>
      <c r="EA1" s="129">
        <v>130</v>
      </c>
      <c r="EB1" s="160">
        <v>131</v>
      </c>
      <c r="EC1" s="129">
        <v>132</v>
      </c>
      <c r="ED1" s="116">
        <v>133</v>
      </c>
      <c r="EE1" s="129">
        <v>134</v>
      </c>
      <c r="EF1" s="116">
        <v>135</v>
      </c>
      <c r="EG1" s="129">
        <v>136</v>
      </c>
      <c r="EH1" s="116">
        <v>137</v>
      </c>
      <c r="EI1" s="130" t="s">
        <v>365</v>
      </c>
      <c r="EJ1" s="116">
        <v>139</v>
      </c>
      <c r="EK1" s="149" t="s">
        <v>362</v>
      </c>
      <c r="EL1" s="116">
        <v>141</v>
      </c>
      <c r="EM1" s="116">
        <v>142</v>
      </c>
      <c r="EN1" s="116">
        <v>143</v>
      </c>
      <c r="EO1" s="116">
        <v>144</v>
      </c>
      <c r="EP1" s="116">
        <v>145</v>
      </c>
      <c r="EQ1" s="248">
        <v>2018</v>
      </c>
      <c r="ER1" s="116">
        <v>147</v>
      </c>
      <c r="ES1" s="116">
        <v>148</v>
      </c>
      <c r="ET1" s="248">
        <v>2019</v>
      </c>
      <c r="EU1" s="116">
        <v>150</v>
      </c>
      <c r="EV1" s="116">
        <v>151</v>
      </c>
      <c r="EW1" s="248">
        <v>2020</v>
      </c>
      <c r="EX1" s="116">
        <v>153</v>
      </c>
      <c r="EY1" s="116">
        <v>154</v>
      </c>
      <c r="EZ1" s="249">
        <v>2018</v>
      </c>
      <c r="FA1" s="122">
        <v>156</v>
      </c>
      <c r="FB1" s="249">
        <v>2019</v>
      </c>
      <c r="FC1" s="122">
        <v>158</v>
      </c>
      <c r="FD1" s="249">
        <v>2020</v>
      </c>
      <c r="FE1" s="122">
        <v>160</v>
      </c>
      <c r="FF1" s="248">
        <v>2018</v>
      </c>
      <c r="FG1" s="116">
        <v>162</v>
      </c>
      <c r="FH1" s="116">
        <v>163</v>
      </c>
      <c r="FI1" s="116">
        <v>164</v>
      </c>
      <c r="FJ1" s="250">
        <v>2019</v>
      </c>
      <c r="FK1" s="116">
        <v>166</v>
      </c>
      <c r="FL1" s="116">
        <v>167</v>
      </c>
      <c r="FM1" s="116">
        <v>168</v>
      </c>
      <c r="FN1" s="248">
        <v>2020</v>
      </c>
      <c r="FO1" s="116">
        <v>170</v>
      </c>
      <c r="FP1" s="116">
        <v>171</v>
      </c>
      <c r="FQ1" s="116">
        <v>172</v>
      </c>
      <c r="FR1" s="252">
        <v>2018</v>
      </c>
      <c r="FS1" s="252">
        <v>2019</v>
      </c>
      <c r="FT1" s="252">
        <v>2020</v>
      </c>
      <c r="FU1" s="252">
        <v>2019</v>
      </c>
      <c r="FV1" s="252">
        <v>2020</v>
      </c>
      <c r="FW1" s="2"/>
    </row>
    <row r="2" spans="1:188" s="2" customFormat="1" ht="12.5" x14ac:dyDescent="0.25">
      <c r="A2" s="72" t="s">
        <v>344</v>
      </c>
      <c r="B2" s="2" t="s">
        <v>0</v>
      </c>
      <c r="C2" s="157" t="s">
        <v>376</v>
      </c>
      <c r="D2" s="127" t="s">
        <v>319</v>
      </c>
      <c r="E2" s="128" t="s">
        <v>303</v>
      </c>
      <c r="F2" s="116" t="s">
        <v>304</v>
      </c>
      <c r="G2" s="116" t="s">
        <v>343</v>
      </c>
      <c r="H2" s="127" t="s">
        <v>293</v>
      </c>
      <c r="I2" s="127" t="s">
        <v>305</v>
      </c>
      <c r="J2" s="127" t="s">
        <v>294</v>
      </c>
      <c r="K2" s="116" t="s">
        <v>324</v>
      </c>
      <c r="L2" s="116" t="s">
        <v>350</v>
      </c>
      <c r="M2" s="116" t="s">
        <v>302</v>
      </c>
      <c r="N2" s="116" t="s">
        <v>325</v>
      </c>
      <c r="O2" s="116" t="s">
        <v>320</v>
      </c>
      <c r="P2" s="116" t="s">
        <v>287</v>
      </c>
      <c r="Q2" s="116" t="s">
        <v>288</v>
      </c>
      <c r="R2" s="173" t="s">
        <v>378</v>
      </c>
      <c r="S2" s="116" t="s">
        <v>289</v>
      </c>
      <c r="T2" s="116" t="s">
        <v>290</v>
      </c>
      <c r="U2" s="116" t="s">
        <v>291</v>
      </c>
      <c r="V2" s="135" t="s">
        <v>286</v>
      </c>
      <c r="W2" s="127" t="s">
        <v>292</v>
      </c>
      <c r="X2" s="116" t="s">
        <v>301</v>
      </c>
      <c r="Y2" s="116" t="s">
        <v>346</v>
      </c>
      <c r="Z2" s="116" t="s">
        <v>293</v>
      </c>
      <c r="AA2" s="116" t="s">
        <v>323</v>
      </c>
      <c r="AB2" s="116" t="s">
        <v>384</v>
      </c>
      <c r="AC2" s="116" t="s">
        <v>307</v>
      </c>
      <c r="AD2" s="116" t="s">
        <v>294</v>
      </c>
      <c r="AE2" s="116" t="s">
        <v>381</v>
      </c>
      <c r="AF2" s="116" t="s">
        <v>385</v>
      </c>
      <c r="AG2" s="116" t="s">
        <v>387</v>
      </c>
      <c r="AH2" s="116" t="s">
        <v>389</v>
      </c>
      <c r="AI2" s="116" t="s">
        <v>295</v>
      </c>
      <c r="AJ2" s="116" t="s">
        <v>345</v>
      </c>
      <c r="AK2" s="116" t="s">
        <v>351</v>
      </c>
      <c r="AL2" s="127" t="s">
        <v>299</v>
      </c>
      <c r="AM2" s="116" t="s">
        <v>347</v>
      </c>
      <c r="AN2" s="116" t="s">
        <v>298</v>
      </c>
      <c r="AO2" s="116" t="s">
        <v>348</v>
      </c>
      <c r="AP2" s="116" t="s">
        <v>290</v>
      </c>
      <c r="AQ2" s="116" t="s">
        <v>309</v>
      </c>
      <c r="AR2" s="116" t="s">
        <v>313</v>
      </c>
      <c r="AS2" s="116" t="s">
        <v>310</v>
      </c>
      <c r="AT2" s="116" t="s">
        <v>377</v>
      </c>
      <c r="AU2" s="127" t="s">
        <v>392</v>
      </c>
      <c r="AV2" s="116" t="s">
        <v>311</v>
      </c>
      <c r="AW2" s="157" t="s">
        <v>376</v>
      </c>
      <c r="AX2" s="127" t="s">
        <v>319</v>
      </c>
      <c r="AY2" s="128" t="s">
        <v>303</v>
      </c>
      <c r="AZ2" s="116" t="s">
        <v>304</v>
      </c>
      <c r="BA2" s="116" t="s">
        <v>343</v>
      </c>
      <c r="BB2" s="127" t="s">
        <v>293</v>
      </c>
      <c r="BC2" s="127" t="s">
        <v>305</v>
      </c>
      <c r="BD2" s="127" t="s">
        <v>294</v>
      </c>
      <c r="BE2" s="116" t="s">
        <v>324</v>
      </c>
      <c r="BF2" s="116" t="s">
        <v>350</v>
      </c>
      <c r="BG2" s="116" t="s">
        <v>302</v>
      </c>
      <c r="BH2" s="116" t="s">
        <v>325</v>
      </c>
      <c r="BI2" s="116" t="s">
        <v>320</v>
      </c>
      <c r="BJ2" s="116" t="s">
        <v>287</v>
      </c>
      <c r="BK2" s="116" t="s">
        <v>288</v>
      </c>
      <c r="BL2" s="173" t="s">
        <v>378</v>
      </c>
      <c r="BM2" s="116" t="s">
        <v>289</v>
      </c>
      <c r="BN2" s="116" t="s">
        <v>290</v>
      </c>
      <c r="BO2" s="125" t="s">
        <v>291</v>
      </c>
      <c r="BP2" s="135" t="s">
        <v>286</v>
      </c>
      <c r="BQ2" s="127" t="s">
        <v>292</v>
      </c>
      <c r="BR2" s="116" t="s">
        <v>301</v>
      </c>
      <c r="BS2" s="116" t="s">
        <v>346</v>
      </c>
      <c r="BT2" s="116" t="s">
        <v>293</v>
      </c>
      <c r="BU2" s="116" t="s">
        <v>323</v>
      </c>
      <c r="BV2" s="116" t="s">
        <v>384</v>
      </c>
      <c r="BW2" s="116"/>
      <c r="BX2" s="116" t="s">
        <v>294</v>
      </c>
      <c r="BY2" s="116" t="s">
        <v>381</v>
      </c>
      <c r="BZ2" s="116" t="s">
        <v>385</v>
      </c>
      <c r="CA2" s="116" t="s">
        <v>387</v>
      </c>
      <c r="CB2" s="116" t="s">
        <v>390</v>
      </c>
      <c r="CC2" s="116" t="s">
        <v>413</v>
      </c>
      <c r="CD2" s="116" t="s">
        <v>345</v>
      </c>
      <c r="CE2" s="116" t="s">
        <v>383</v>
      </c>
      <c r="CF2" s="127" t="s">
        <v>299</v>
      </c>
      <c r="CG2" s="116" t="s">
        <v>394</v>
      </c>
      <c r="CH2" s="116" t="s">
        <v>298</v>
      </c>
      <c r="CI2" s="116" t="s">
        <v>348</v>
      </c>
      <c r="CJ2" s="116" t="s">
        <v>290</v>
      </c>
      <c r="CK2" s="116" t="s">
        <v>309</v>
      </c>
      <c r="CL2" s="116" t="s">
        <v>313</v>
      </c>
      <c r="CM2" s="116" t="s">
        <v>310</v>
      </c>
      <c r="CN2" s="116" t="s">
        <v>414</v>
      </c>
      <c r="CO2" s="127" t="s">
        <v>391</v>
      </c>
      <c r="CP2" s="116" t="s">
        <v>311</v>
      </c>
      <c r="CQ2" s="157" t="s">
        <v>1</v>
      </c>
      <c r="CR2" s="127" t="s">
        <v>319</v>
      </c>
      <c r="CS2" s="128" t="s">
        <v>303</v>
      </c>
      <c r="CT2" s="116" t="s">
        <v>304</v>
      </c>
      <c r="CU2" s="116" t="s">
        <v>343</v>
      </c>
      <c r="CV2" s="127" t="s">
        <v>293</v>
      </c>
      <c r="CW2" s="127" t="s">
        <v>305</v>
      </c>
      <c r="CX2" s="127" t="s">
        <v>294</v>
      </c>
      <c r="CY2" s="116" t="s">
        <v>324</v>
      </c>
      <c r="CZ2" s="116" t="s">
        <v>350</v>
      </c>
      <c r="DA2" s="116" t="s">
        <v>302</v>
      </c>
      <c r="DB2" s="116" t="s">
        <v>325</v>
      </c>
      <c r="DC2" s="116" t="s">
        <v>320</v>
      </c>
      <c r="DD2" s="116" t="s">
        <v>287</v>
      </c>
      <c r="DE2" s="116" t="s">
        <v>288</v>
      </c>
      <c r="DF2" s="173" t="s">
        <v>378</v>
      </c>
      <c r="DG2" s="116" t="s">
        <v>289</v>
      </c>
      <c r="DH2" s="116" t="s">
        <v>290</v>
      </c>
      <c r="DI2" s="125" t="s">
        <v>291</v>
      </c>
      <c r="DJ2" s="135" t="s">
        <v>286</v>
      </c>
      <c r="DK2" s="127" t="s">
        <v>292</v>
      </c>
      <c r="DL2" s="116" t="s">
        <v>301</v>
      </c>
      <c r="DM2" s="116" t="s">
        <v>346</v>
      </c>
      <c r="DN2" s="116" t="s">
        <v>293</v>
      </c>
      <c r="DO2" s="116" t="s">
        <v>323</v>
      </c>
      <c r="DP2" s="116" t="s">
        <v>393</v>
      </c>
      <c r="DQ2" s="116" t="s">
        <v>373</v>
      </c>
      <c r="DR2" s="116" t="s">
        <v>294</v>
      </c>
      <c r="DS2" s="116" t="s">
        <v>381</v>
      </c>
      <c r="DT2" s="116" t="s">
        <v>385</v>
      </c>
      <c r="DU2" s="116" t="s">
        <v>387</v>
      </c>
      <c r="DV2" s="116" t="s">
        <v>390</v>
      </c>
      <c r="DW2" s="116" t="s">
        <v>295</v>
      </c>
      <c r="DX2" s="116" t="s">
        <v>345</v>
      </c>
      <c r="DY2" s="116" t="s">
        <v>383</v>
      </c>
      <c r="DZ2" s="127" t="s">
        <v>299</v>
      </c>
      <c r="EA2" s="116" t="s">
        <v>394</v>
      </c>
      <c r="EB2" s="160" t="s">
        <v>298</v>
      </c>
      <c r="EC2" s="116" t="s">
        <v>348</v>
      </c>
      <c r="ED2" s="116" t="s">
        <v>290</v>
      </c>
      <c r="EE2" s="116" t="s">
        <v>397</v>
      </c>
      <c r="EF2" s="116" t="s">
        <v>313</v>
      </c>
      <c r="EG2" s="116" t="s">
        <v>310</v>
      </c>
      <c r="EH2" s="116" t="s">
        <v>415</v>
      </c>
      <c r="EI2" s="127" t="s">
        <v>328</v>
      </c>
      <c r="EJ2" s="116" t="s">
        <v>311</v>
      </c>
      <c r="EK2" s="118" t="s">
        <v>404</v>
      </c>
      <c r="EL2" s="118" t="s">
        <v>405</v>
      </c>
      <c r="EM2" s="118" t="s">
        <v>406</v>
      </c>
      <c r="EN2" s="118" t="s">
        <v>407</v>
      </c>
      <c r="EO2" s="118" t="s">
        <v>408</v>
      </c>
      <c r="EP2" s="118" t="s">
        <v>409</v>
      </c>
      <c r="EQ2" s="137" t="s">
        <v>331</v>
      </c>
      <c r="ER2" s="137" t="s">
        <v>374</v>
      </c>
      <c r="ES2" s="137" t="s">
        <v>375</v>
      </c>
      <c r="ET2" s="137" t="s">
        <v>331</v>
      </c>
      <c r="EU2" s="137" t="s">
        <v>332</v>
      </c>
      <c r="EV2" s="137" t="s">
        <v>333</v>
      </c>
      <c r="EW2" s="137" t="s">
        <v>331</v>
      </c>
      <c r="EX2" s="137" t="s">
        <v>332</v>
      </c>
      <c r="EY2" s="137" t="s">
        <v>333</v>
      </c>
      <c r="EZ2" s="138" t="s">
        <v>334</v>
      </c>
      <c r="FA2" s="138" t="s">
        <v>335</v>
      </c>
      <c r="FB2" s="138" t="s">
        <v>334</v>
      </c>
      <c r="FC2" s="138" t="s">
        <v>335</v>
      </c>
      <c r="FD2" s="138" t="s">
        <v>334</v>
      </c>
      <c r="FE2" s="138" t="s">
        <v>335</v>
      </c>
      <c r="FF2" s="112" t="s">
        <v>337</v>
      </c>
      <c r="FG2" s="112" t="s">
        <v>342</v>
      </c>
      <c r="FH2" s="112" t="s">
        <v>349</v>
      </c>
      <c r="FI2" s="112" t="s">
        <v>341</v>
      </c>
      <c r="FJ2" s="112" t="s">
        <v>337</v>
      </c>
      <c r="FK2" s="112" t="s">
        <v>342</v>
      </c>
      <c r="FL2" s="112" t="s">
        <v>349</v>
      </c>
      <c r="FM2" s="112" t="s">
        <v>341</v>
      </c>
      <c r="FN2" s="112" t="s">
        <v>337</v>
      </c>
      <c r="FO2" s="112" t="s">
        <v>342</v>
      </c>
      <c r="FP2" s="112" t="s">
        <v>349</v>
      </c>
      <c r="FQ2" s="112" t="s">
        <v>341</v>
      </c>
      <c r="FR2" s="116" t="s">
        <v>397</v>
      </c>
      <c r="FS2" s="116" t="s">
        <v>397</v>
      </c>
      <c r="FT2" s="152" t="s">
        <v>397</v>
      </c>
      <c r="FU2" s="116" t="s">
        <v>402</v>
      </c>
      <c r="FV2" s="116" t="s">
        <v>402</v>
      </c>
    </row>
    <row r="3" spans="1:188" s="2" customFormat="1" ht="14.5" x14ac:dyDescent="0.35">
      <c r="A3" s="72">
        <v>20</v>
      </c>
      <c r="B3" s="76" t="s">
        <v>329</v>
      </c>
      <c r="C3" s="158">
        <v>16611</v>
      </c>
      <c r="D3" s="219"/>
      <c r="E3" s="128">
        <v>0.69020213363279059</v>
      </c>
      <c r="F3" s="128">
        <v>61.743501812088383</v>
      </c>
      <c r="G3" s="129">
        <v>-4767.322858346879</v>
      </c>
      <c r="H3" s="128"/>
      <c r="I3" s="251"/>
      <c r="J3" s="128"/>
      <c r="K3" s="128">
        <v>18.920032976092333</v>
      </c>
      <c r="L3" s="129">
        <v>387.03268918186745</v>
      </c>
      <c r="M3" s="129">
        <v>14.023695691149227</v>
      </c>
      <c r="N3" s="129">
        <v>10073.44530732647</v>
      </c>
      <c r="O3" s="129"/>
      <c r="P3" s="116">
        <v>61885</v>
      </c>
      <c r="Q3" s="160">
        <v>150217</v>
      </c>
      <c r="R3" s="160">
        <v>9</v>
      </c>
      <c r="S3" s="160">
        <v>-88323</v>
      </c>
      <c r="T3" s="116">
        <v>59625</v>
      </c>
      <c r="U3" s="125">
        <v>32456</v>
      </c>
      <c r="V3" s="135"/>
      <c r="W3" s="127"/>
      <c r="X3" s="116">
        <v>-67</v>
      </c>
      <c r="Y3" s="116">
        <v>764</v>
      </c>
      <c r="Z3" s="160">
        <v>4455</v>
      </c>
      <c r="AA3" s="116">
        <v>7026</v>
      </c>
      <c r="AB3" s="116">
        <v>0</v>
      </c>
      <c r="AC3" s="116"/>
      <c r="AD3" s="160">
        <v>-2571</v>
      </c>
      <c r="AE3" s="116">
        <v>-87</v>
      </c>
      <c r="AF3" s="116">
        <v>2</v>
      </c>
      <c r="AG3" s="116">
        <v>-94</v>
      </c>
      <c r="AH3" s="116">
        <v>-35</v>
      </c>
      <c r="AI3" s="160">
        <v>-2785</v>
      </c>
      <c r="AJ3" s="160">
        <v>-9933</v>
      </c>
      <c r="AK3" s="160">
        <v>4350</v>
      </c>
      <c r="AL3" s="127"/>
      <c r="AM3" s="161">
        <v>-1160</v>
      </c>
      <c r="AN3" s="161">
        <v>-6662</v>
      </c>
      <c r="AO3" s="159">
        <v>-4561</v>
      </c>
      <c r="AP3" s="116"/>
      <c r="AQ3" s="116"/>
      <c r="AR3" s="116"/>
      <c r="AS3" s="116"/>
      <c r="AT3" s="99">
        <v>21.75</v>
      </c>
      <c r="AU3" s="130"/>
      <c r="AV3" s="262">
        <v>233</v>
      </c>
      <c r="AW3" s="267">
        <v>16475</v>
      </c>
      <c r="AX3" s="125"/>
      <c r="AY3" s="255">
        <v>1.3448478612376893</v>
      </c>
      <c r="AZ3" s="259">
        <v>60.55128197194081</v>
      </c>
      <c r="BA3" s="160">
        <v>-4926.6767830045519</v>
      </c>
      <c r="BB3" s="130"/>
      <c r="BC3" s="127"/>
      <c r="BD3" s="127"/>
      <c r="BE3" s="128">
        <v>19.358001880125773</v>
      </c>
      <c r="BF3" s="160">
        <v>430.28831562974199</v>
      </c>
      <c r="BG3" s="129">
        <v>13.814818085482161</v>
      </c>
      <c r="BH3" s="129">
        <v>10310.166919575113</v>
      </c>
      <c r="BI3" s="125"/>
      <c r="BJ3" s="116">
        <v>64620</v>
      </c>
      <c r="BK3" s="116">
        <v>153015</v>
      </c>
      <c r="BL3" s="160">
        <v>-4</v>
      </c>
      <c r="BM3" s="160">
        <v>-88399</v>
      </c>
      <c r="BN3" s="116">
        <v>62993</v>
      </c>
      <c r="BO3" s="116">
        <v>33974</v>
      </c>
      <c r="BP3" s="135"/>
      <c r="BQ3" s="127"/>
      <c r="BR3" s="160">
        <v>-80</v>
      </c>
      <c r="BS3" s="160">
        <v>227</v>
      </c>
      <c r="BT3" s="160">
        <v>8715</v>
      </c>
      <c r="BU3" s="125">
        <v>8464</v>
      </c>
      <c r="BV3" s="160">
        <v>0</v>
      </c>
      <c r="BW3" s="116"/>
      <c r="BX3" s="160">
        <v>251</v>
      </c>
      <c r="BY3" s="160">
        <v>-102</v>
      </c>
      <c r="BZ3" s="160">
        <v>0</v>
      </c>
      <c r="CA3" s="160">
        <v>70</v>
      </c>
      <c r="CB3" s="160">
        <v>-43</v>
      </c>
      <c r="CC3" s="160">
        <v>36</v>
      </c>
      <c r="CD3" s="160">
        <v>-9892</v>
      </c>
      <c r="CE3" s="116">
        <v>7916</v>
      </c>
      <c r="CF3" s="127"/>
      <c r="CG3" s="160">
        <v>-198</v>
      </c>
      <c r="CH3" s="160">
        <v>-6369</v>
      </c>
      <c r="CI3" s="159">
        <v>-1633</v>
      </c>
      <c r="CJ3" s="116"/>
      <c r="CK3" s="125"/>
      <c r="CL3" s="160"/>
      <c r="CM3" s="125"/>
      <c r="CN3" s="264">
        <v>22.25</v>
      </c>
      <c r="CO3" s="130"/>
      <c r="CP3" s="116">
        <v>112</v>
      </c>
      <c r="CQ3" s="267">
        <v>16391</v>
      </c>
      <c r="CR3" s="125"/>
      <c r="CS3" s="268">
        <v>11.406287787182588</v>
      </c>
      <c r="CT3" s="269">
        <v>56.0820333898873</v>
      </c>
      <c r="CU3" s="160">
        <v>-4964.1266548715757</v>
      </c>
      <c r="CV3" s="130"/>
      <c r="CW3" s="127"/>
      <c r="CX3" s="127"/>
      <c r="CY3" s="269">
        <v>23.590750124901863</v>
      </c>
      <c r="CZ3" s="125">
        <v>803.73375632969316</v>
      </c>
      <c r="DA3" s="125">
        <v>25.097131464122427</v>
      </c>
      <c r="DB3" s="160">
        <v>11689.097675553658</v>
      </c>
      <c r="DC3" s="125"/>
      <c r="DD3" s="116">
        <v>84365</v>
      </c>
      <c r="DE3" s="116">
        <v>170341</v>
      </c>
      <c r="DF3" s="116">
        <v>531</v>
      </c>
      <c r="DG3" s="116">
        <v>-85445</v>
      </c>
      <c r="DH3" s="116">
        <v>64150</v>
      </c>
      <c r="DI3" s="116">
        <v>39506</v>
      </c>
      <c r="DJ3" s="135"/>
      <c r="DK3" s="127"/>
      <c r="DL3" s="160">
        <v>-147</v>
      </c>
      <c r="DM3" s="160">
        <v>338</v>
      </c>
      <c r="DN3" s="160">
        <v>18402</v>
      </c>
      <c r="DO3" s="116">
        <v>8763</v>
      </c>
      <c r="DP3" s="160">
        <v>0</v>
      </c>
      <c r="DQ3" s="116"/>
      <c r="DR3" s="160">
        <v>9639</v>
      </c>
      <c r="DS3" s="116">
        <v>-409</v>
      </c>
      <c r="DT3" s="116">
        <v>0</v>
      </c>
      <c r="DU3" s="116">
        <v>227</v>
      </c>
      <c r="DV3" s="116">
        <v>-18</v>
      </c>
      <c r="DW3" s="160">
        <v>8985</v>
      </c>
      <c r="DX3" s="160">
        <v>-1092</v>
      </c>
      <c r="DY3" s="116">
        <v>15626</v>
      </c>
      <c r="DZ3" s="127"/>
      <c r="EA3" s="116">
        <v>-1427</v>
      </c>
      <c r="EB3" s="116">
        <v>-1190</v>
      </c>
      <c r="EC3" s="159">
        <v>258</v>
      </c>
      <c r="ED3" s="116"/>
      <c r="EE3" s="125"/>
      <c r="EF3" s="160"/>
      <c r="EG3" s="125"/>
      <c r="EH3" s="253">
        <v>22.25</v>
      </c>
      <c r="EI3" s="130"/>
      <c r="EJ3" s="125">
        <v>98</v>
      </c>
      <c r="EK3" s="3"/>
      <c r="EL3" s="159"/>
      <c r="EM3" s="3"/>
      <c r="EN3" s="3"/>
      <c r="EO3" s="3"/>
      <c r="EP3" s="159"/>
      <c r="EQ3" s="159">
        <v>-9405</v>
      </c>
      <c r="ER3" s="3">
        <v>130</v>
      </c>
      <c r="ES3" s="3">
        <v>364</v>
      </c>
      <c r="ET3" s="160">
        <v>-9837</v>
      </c>
      <c r="EU3" s="116">
        <v>35</v>
      </c>
      <c r="EV3" s="3">
        <v>253</v>
      </c>
      <c r="EW3" s="160">
        <v>-19500</v>
      </c>
      <c r="EX3" s="160">
        <v>115</v>
      </c>
      <c r="EY3" s="159">
        <v>4017</v>
      </c>
      <c r="EZ3" s="116">
        <v>12126</v>
      </c>
      <c r="FA3" s="116">
        <v>-139</v>
      </c>
      <c r="FB3" s="3">
        <v>3804</v>
      </c>
      <c r="FC3" s="159">
        <v>4960</v>
      </c>
      <c r="FD3" s="3">
        <v>16451</v>
      </c>
      <c r="FE3" s="3">
        <v>-13511</v>
      </c>
      <c r="FF3" s="3">
        <v>71138</v>
      </c>
      <c r="FG3" s="3">
        <v>54488</v>
      </c>
      <c r="FH3" s="3">
        <v>16650</v>
      </c>
      <c r="FI3" s="3">
        <v>7687</v>
      </c>
      <c r="FJ3" s="27">
        <v>73531</v>
      </c>
      <c r="FK3" s="159">
        <v>52049</v>
      </c>
      <c r="FL3" s="27">
        <v>21482</v>
      </c>
      <c r="FM3" s="3">
        <v>7682</v>
      </c>
      <c r="FN3" s="27">
        <v>75779</v>
      </c>
      <c r="FO3" s="3">
        <v>62285</v>
      </c>
      <c r="FP3" s="3">
        <v>13494</v>
      </c>
      <c r="FQ3" s="3">
        <v>-1427</v>
      </c>
      <c r="FR3" s="153">
        <v>6892</v>
      </c>
      <c r="FS3" s="153">
        <v>11897</v>
      </c>
      <c r="FT3" s="276">
        <v>14631</v>
      </c>
      <c r="FU3" s="3">
        <v>12541</v>
      </c>
      <c r="FV3" s="159">
        <v>15695</v>
      </c>
      <c r="FW3" s="170"/>
      <c r="FZ3" s="155"/>
      <c r="GB3"/>
      <c r="GC3"/>
      <c r="GD3" s="163"/>
    </row>
    <row r="4" spans="1:188" ht="14.5" x14ac:dyDescent="0.35">
      <c r="A4" s="72">
        <v>5</v>
      </c>
      <c r="B4" s="70" t="s">
        <v>2</v>
      </c>
      <c r="C4" s="158">
        <v>9700</v>
      </c>
      <c r="D4" s="171"/>
      <c r="E4" s="128">
        <v>0.93271164746754431</v>
      </c>
      <c r="F4" s="128">
        <v>52.878660950409831</v>
      </c>
      <c r="G4" s="129">
        <v>-4758.0412371134025</v>
      </c>
      <c r="H4" s="216"/>
      <c r="I4" s="172"/>
      <c r="J4" s="218"/>
      <c r="K4" s="128">
        <v>33.057348584433676</v>
      </c>
      <c r="L4" s="129">
        <v>914.63917525773195</v>
      </c>
      <c r="M4" s="129">
        <v>24.198955305300444</v>
      </c>
      <c r="N4" s="129">
        <v>13795.773195876289</v>
      </c>
      <c r="O4" s="129"/>
      <c r="P4" s="117">
        <v>56110</v>
      </c>
      <c r="Q4" s="161">
        <v>116873</v>
      </c>
      <c r="R4" s="161">
        <v>190</v>
      </c>
      <c r="S4" s="161">
        <v>-60573</v>
      </c>
      <c r="T4" s="124">
        <v>28893</v>
      </c>
      <c r="U4" s="124">
        <v>36755</v>
      </c>
      <c r="V4" s="136"/>
      <c r="X4" s="116">
        <v>-343</v>
      </c>
      <c r="Y4" s="116">
        <v>4</v>
      </c>
      <c r="Z4" s="161">
        <v>4736</v>
      </c>
      <c r="AA4" s="116">
        <v>5876</v>
      </c>
      <c r="AB4" s="116">
        <v>0</v>
      </c>
      <c r="AD4" s="161">
        <v>-1140</v>
      </c>
      <c r="AE4" s="116">
        <v>-5</v>
      </c>
      <c r="AF4" s="116">
        <v>25</v>
      </c>
      <c r="AG4" s="116">
        <v>-50</v>
      </c>
      <c r="AH4" s="116">
        <v>0</v>
      </c>
      <c r="AI4" s="160">
        <v>-1170</v>
      </c>
      <c r="AJ4" s="161">
        <v>7456</v>
      </c>
      <c r="AK4" s="161">
        <v>4436</v>
      </c>
      <c r="AL4" s="150"/>
      <c r="AM4" s="161">
        <v>892</v>
      </c>
      <c r="AN4" s="161">
        <v>-5104</v>
      </c>
      <c r="AO4" s="160">
        <v>-6142</v>
      </c>
      <c r="AQ4" s="160"/>
      <c r="AR4" s="117"/>
      <c r="AS4" s="117"/>
      <c r="AT4" s="99">
        <v>21.75</v>
      </c>
      <c r="AU4" s="130"/>
      <c r="AV4" s="262">
        <v>148</v>
      </c>
      <c r="AW4" s="267">
        <v>9562</v>
      </c>
      <c r="AX4" s="124"/>
      <c r="AY4" s="255">
        <v>0.78123254514987894</v>
      </c>
      <c r="AZ4" s="259">
        <v>51.263742656040954</v>
      </c>
      <c r="BA4" s="160">
        <v>-5599.0378581886634</v>
      </c>
      <c r="BB4" s="130"/>
      <c r="BC4" s="130"/>
      <c r="BD4" s="130"/>
      <c r="BE4" s="128">
        <v>31.606193054146559</v>
      </c>
      <c r="BF4" s="160">
        <v>801.50596109600508</v>
      </c>
      <c r="BG4" s="129">
        <v>21.480130275874419</v>
      </c>
      <c r="BH4" s="131">
        <v>15766.262288224221</v>
      </c>
      <c r="BI4" s="124"/>
      <c r="BJ4" s="117">
        <v>71516</v>
      </c>
      <c r="BK4" s="117">
        <v>133738</v>
      </c>
      <c r="BL4" s="161">
        <v>226</v>
      </c>
      <c r="BM4" s="161">
        <v>-61996</v>
      </c>
      <c r="BN4" s="117">
        <v>29512</v>
      </c>
      <c r="BO4" s="117">
        <v>36500</v>
      </c>
      <c r="BP4" s="136"/>
      <c r="BR4" s="160">
        <v>-377</v>
      </c>
      <c r="BS4" s="160">
        <v>164</v>
      </c>
      <c r="BT4" s="161">
        <v>3803</v>
      </c>
      <c r="BU4" s="125">
        <v>6114</v>
      </c>
      <c r="BV4" s="160">
        <v>0</v>
      </c>
      <c r="BX4" s="161">
        <v>-2311</v>
      </c>
      <c r="BY4" s="160">
        <v>7</v>
      </c>
      <c r="BZ4" s="160">
        <v>-11</v>
      </c>
      <c r="CA4" s="160">
        <v>48</v>
      </c>
      <c r="CB4" s="160">
        <v>-5</v>
      </c>
      <c r="CC4" s="160">
        <v>-2368</v>
      </c>
      <c r="CD4" s="160">
        <v>4891</v>
      </c>
      <c r="CE4" s="116">
        <v>3486</v>
      </c>
      <c r="CF4" s="150"/>
      <c r="CG4" s="161">
        <v>338</v>
      </c>
      <c r="CH4" s="160">
        <v>-4978</v>
      </c>
      <c r="CI4" s="159">
        <v>-7070</v>
      </c>
      <c r="CK4" s="124"/>
      <c r="CL4" s="161"/>
      <c r="CM4" s="124"/>
      <c r="CN4" s="265">
        <v>21.75</v>
      </c>
      <c r="CO4" s="99"/>
      <c r="CP4" s="116">
        <v>162</v>
      </c>
      <c r="CQ4" s="267">
        <v>9419</v>
      </c>
      <c r="CR4" s="124"/>
      <c r="CS4" s="268">
        <v>1.4540717582253981</v>
      </c>
      <c r="CT4" s="269">
        <v>50.949560810329857</v>
      </c>
      <c r="CU4" s="160">
        <v>-5587.2173266801146</v>
      </c>
      <c r="CV4" s="130"/>
      <c r="CW4" s="130"/>
      <c r="CX4" s="130"/>
      <c r="CY4" s="269">
        <v>33.041555581841841</v>
      </c>
      <c r="CZ4" s="125">
        <v>1021.5521817602718</v>
      </c>
      <c r="DA4" s="125">
        <v>23.937933666862058</v>
      </c>
      <c r="DB4" s="273">
        <v>15576.388151608451</v>
      </c>
      <c r="DC4" s="124"/>
      <c r="DD4" s="117">
        <v>70222</v>
      </c>
      <c r="DE4" s="117">
        <v>131111</v>
      </c>
      <c r="DF4" s="117">
        <v>113</v>
      </c>
      <c r="DG4" s="117">
        <v>-60776</v>
      </c>
      <c r="DH4" s="117">
        <v>29583</v>
      </c>
      <c r="DI4" s="117">
        <v>40681</v>
      </c>
      <c r="DJ4" s="136"/>
      <c r="DL4" s="160">
        <v>-373</v>
      </c>
      <c r="DM4" s="160">
        <v>273</v>
      </c>
      <c r="DN4" s="161">
        <v>9388</v>
      </c>
      <c r="DO4" s="116">
        <v>6287</v>
      </c>
      <c r="DP4" s="160">
        <v>0</v>
      </c>
      <c r="DR4" s="161">
        <v>3101</v>
      </c>
      <c r="DS4" s="116">
        <v>29</v>
      </c>
      <c r="DT4" s="116">
        <v>-21</v>
      </c>
      <c r="DU4" s="116">
        <v>64</v>
      </c>
      <c r="DV4" s="116">
        <v>-15</v>
      </c>
      <c r="DW4" s="160">
        <v>3030</v>
      </c>
      <c r="DX4" s="160">
        <v>7816</v>
      </c>
      <c r="DY4" s="116">
        <v>8946</v>
      </c>
      <c r="DZ4" s="150"/>
      <c r="EA4" s="117">
        <v>213</v>
      </c>
      <c r="EB4" s="116">
        <v>-6338</v>
      </c>
      <c r="EC4" s="159">
        <v>427</v>
      </c>
      <c r="ED4" s="2"/>
      <c r="EE4" s="125"/>
      <c r="EF4" s="161"/>
      <c r="EG4" s="124"/>
      <c r="EH4" s="253">
        <v>21.75</v>
      </c>
      <c r="EI4" s="130"/>
      <c r="EJ4" s="125">
        <v>133</v>
      </c>
      <c r="EK4" s="116"/>
      <c r="EL4" s="159"/>
      <c r="EN4" s="116"/>
      <c r="EO4" s="116"/>
      <c r="EP4" s="159"/>
      <c r="EQ4" s="159">
        <v>-11309</v>
      </c>
      <c r="ER4" s="116">
        <v>579</v>
      </c>
      <c r="ES4" s="116">
        <v>152</v>
      </c>
      <c r="ET4" s="160">
        <v>-11425</v>
      </c>
      <c r="EU4" s="116">
        <v>781</v>
      </c>
      <c r="EV4" s="116">
        <v>88</v>
      </c>
      <c r="EW4" s="160">
        <v>-8822</v>
      </c>
      <c r="EX4" s="160">
        <v>275</v>
      </c>
      <c r="EY4" s="160">
        <v>28</v>
      </c>
      <c r="EZ4" s="116">
        <v>7075</v>
      </c>
      <c r="FA4" s="116">
        <v>2000</v>
      </c>
      <c r="FB4" s="116">
        <v>9888</v>
      </c>
      <c r="FC4" s="160">
        <v>0</v>
      </c>
      <c r="FD4" s="116">
        <v>7058</v>
      </c>
      <c r="FE4" s="116">
        <v>64</v>
      </c>
      <c r="FF4" s="3">
        <v>45721</v>
      </c>
      <c r="FG4" s="3">
        <v>35494</v>
      </c>
      <c r="FH4" s="3">
        <v>10227</v>
      </c>
      <c r="FI4" s="3">
        <v>115</v>
      </c>
      <c r="FJ4" s="125">
        <v>50397</v>
      </c>
      <c r="FK4" s="160">
        <v>39206</v>
      </c>
      <c r="FL4" s="125">
        <v>11191</v>
      </c>
      <c r="FM4" s="116">
        <v>0</v>
      </c>
      <c r="FN4" s="125">
        <v>51214</v>
      </c>
      <c r="FO4" s="116">
        <v>40348</v>
      </c>
      <c r="FP4" s="116">
        <v>10866</v>
      </c>
      <c r="FQ4" s="116">
        <v>213</v>
      </c>
      <c r="FR4" s="153">
        <v>808</v>
      </c>
      <c r="FS4" s="153">
        <v>626</v>
      </c>
      <c r="FT4" s="276">
        <v>498</v>
      </c>
      <c r="FU4" s="3">
        <v>1338</v>
      </c>
      <c r="FV4" s="159">
        <v>1380</v>
      </c>
      <c r="FW4" s="170"/>
      <c r="FZ4" s="155"/>
      <c r="GA4" s="2"/>
      <c r="GB4" s="2"/>
      <c r="GC4" s="2"/>
      <c r="GD4" s="163"/>
      <c r="GE4" s="2"/>
      <c r="GF4" s="2"/>
    </row>
    <row r="5" spans="1:188" ht="14.5" x14ac:dyDescent="0.35">
      <c r="A5" s="72">
        <v>9</v>
      </c>
      <c r="B5" s="70" t="s">
        <v>3</v>
      </c>
      <c r="C5" s="158">
        <v>2573</v>
      </c>
      <c r="D5" s="171"/>
      <c r="E5" s="128">
        <v>2.1007407407407408</v>
      </c>
      <c r="F5" s="128">
        <v>40.653167057661442</v>
      </c>
      <c r="G5" s="129">
        <v>-3263.8942868247182</v>
      </c>
      <c r="H5" s="216"/>
      <c r="I5" s="172"/>
      <c r="J5" s="218"/>
      <c r="K5" s="128">
        <v>38.78576602680188</v>
      </c>
      <c r="L5" s="129">
        <v>1184.6094053633892</v>
      </c>
      <c r="M5" s="129">
        <v>33.898656266187274</v>
      </c>
      <c r="N5" s="129">
        <v>12755.149630781189</v>
      </c>
      <c r="O5" s="129"/>
      <c r="P5" s="117">
        <v>15045</v>
      </c>
      <c r="Q5" s="161">
        <v>30994</v>
      </c>
      <c r="R5" s="161">
        <v>1</v>
      </c>
      <c r="S5" s="161">
        <v>-15948</v>
      </c>
      <c r="T5" s="124">
        <v>7525</v>
      </c>
      <c r="U5" s="124">
        <v>9826</v>
      </c>
      <c r="V5" s="136"/>
      <c r="X5" s="116">
        <v>-29</v>
      </c>
      <c r="Y5" s="116">
        <v>15</v>
      </c>
      <c r="Z5" s="161">
        <v>1389</v>
      </c>
      <c r="AA5" s="116">
        <v>979</v>
      </c>
      <c r="AB5" s="116">
        <v>72</v>
      </c>
      <c r="AD5" s="161">
        <v>482</v>
      </c>
      <c r="AE5" s="116">
        <v>-1</v>
      </c>
      <c r="AF5" s="116">
        <v>-1</v>
      </c>
      <c r="AG5" s="116">
        <v>-1</v>
      </c>
      <c r="AH5" s="116">
        <v>1</v>
      </c>
      <c r="AI5" s="160">
        <v>480</v>
      </c>
      <c r="AJ5" s="161">
        <v>926</v>
      </c>
      <c r="AK5" s="161">
        <v>1456</v>
      </c>
      <c r="AL5" s="150"/>
      <c r="AM5" s="161">
        <v>415</v>
      </c>
      <c r="AN5" s="161">
        <v>-646</v>
      </c>
      <c r="AO5" s="160">
        <v>554</v>
      </c>
      <c r="AQ5" s="160"/>
      <c r="AR5" s="117"/>
      <c r="AS5" s="117"/>
      <c r="AT5" s="99">
        <v>21.5</v>
      </c>
      <c r="AU5" s="130"/>
      <c r="AV5" s="262">
        <v>127</v>
      </c>
      <c r="AW5" s="267">
        <v>2519</v>
      </c>
      <c r="AX5" s="124"/>
      <c r="AY5" s="255">
        <v>3.8731182795698924</v>
      </c>
      <c r="AZ5" s="259">
        <v>40.471348247398012</v>
      </c>
      <c r="BA5" s="160">
        <v>-3265.1845970623262</v>
      </c>
      <c r="BB5" s="130"/>
      <c r="BC5" s="130"/>
      <c r="BD5" s="130"/>
      <c r="BE5" s="128">
        <v>40.241119483315394</v>
      </c>
      <c r="BF5" s="160">
        <v>1269.1544263596666</v>
      </c>
      <c r="BG5" s="129">
        <v>32.959649226758309</v>
      </c>
      <c r="BH5" s="131">
        <v>13399.76181024216</v>
      </c>
      <c r="BI5" s="124"/>
      <c r="BJ5" s="117">
        <v>15791</v>
      </c>
      <c r="BK5" s="117">
        <v>31650</v>
      </c>
      <c r="BL5" s="161">
        <v>1</v>
      </c>
      <c r="BM5" s="161">
        <v>-15858</v>
      </c>
      <c r="BN5" s="117">
        <v>7960</v>
      </c>
      <c r="BO5" s="117">
        <v>9685</v>
      </c>
      <c r="BP5" s="136"/>
      <c r="BR5" s="160">
        <v>-27</v>
      </c>
      <c r="BS5" s="160">
        <v>14</v>
      </c>
      <c r="BT5" s="161">
        <v>1774</v>
      </c>
      <c r="BU5" s="125">
        <v>1068</v>
      </c>
      <c r="BV5" s="160">
        <v>0</v>
      </c>
      <c r="BX5" s="161">
        <v>706</v>
      </c>
      <c r="BY5" s="160">
        <v>0</v>
      </c>
      <c r="BZ5" s="160">
        <v>0</v>
      </c>
      <c r="CA5" s="160">
        <v>1</v>
      </c>
      <c r="CB5" s="160">
        <v>0</v>
      </c>
      <c r="CC5" s="160">
        <v>705</v>
      </c>
      <c r="CD5" s="160">
        <v>1631</v>
      </c>
      <c r="CE5" s="116">
        <v>1775</v>
      </c>
      <c r="CF5" s="150"/>
      <c r="CG5" s="161">
        <v>-385</v>
      </c>
      <c r="CH5" s="160">
        <v>-438</v>
      </c>
      <c r="CI5" s="159">
        <v>146</v>
      </c>
      <c r="CK5" s="124"/>
      <c r="CL5" s="161"/>
      <c r="CM5" s="124"/>
      <c r="CN5" s="265">
        <v>22</v>
      </c>
      <c r="CO5" s="130"/>
      <c r="CP5" s="116">
        <v>56</v>
      </c>
      <c r="CQ5" s="267">
        <v>2517</v>
      </c>
      <c r="CR5" s="124"/>
      <c r="CS5" s="268">
        <v>0.59001512859304084</v>
      </c>
      <c r="CT5" s="269">
        <v>41.539116853613514</v>
      </c>
      <c r="CU5" s="160">
        <v>-3014.700039729837</v>
      </c>
      <c r="CV5" s="130"/>
      <c r="CW5" s="130"/>
      <c r="CX5" s="130"/>
      <c r="CY5" s="269">
        <v>41.55028477802918</v>
      </c>
      <c r="CZ5" s="125">
        <v>2144.6166070719109</v>
      </c>
      <c r="DA5" s="125">
        <v>49.98782189521755</v>
      </c>
      <c r="DB5" s="273">
        <v>15659.515295987287</v>
      </c>
      <c r="DC5" s="124"/>
      <c r="DD5" s="117">
        <v>16575</v>
      </c>
      <c r="DE5" s="117">
        <v>32888</v>
      </c>
      <c r="DF5" s="117">
        <v>1</v>
      </c>
      <c r="DG5" s="117">
        <v>-16312</v>
      </c>
      <c r="DH5" s="117">
        <v>7712</v>
      </c>
      <c r="DI5" s="117">
        <v>10928</v>
      </c>
      <c r="DJ5" s="136"/>
      <c r="DL5" s="160">
        <v>10</v>
      </c>
      <c r="DM5" s="160">
        <v>12</v>
      </c>
      <c r="DN5" s="161">
        <v>2350</v>
      </c>
      <c r="DO5" s="116">
        <v>1045</v>
      </c>
      <c r="DP5" s="160">
        <v>0</v>
      </c>
      <c r="DR5" s="161">
        <v>1305</v>
      </c>
      <c r="DS5" s="116">
        <v>0</v>
      </c>
      <c r="DT5" s="116">
        <v>-3</v>
      </c>
      <c r="DU5" s="116">
        <v>0</v>
      </c>
      <c r="DV5" s="116">
        <v>-1</v>
      </c>
      <c r="DW5" s="160">
        <v>1301</v>
      </c>
      <c r="DX5" s="160">
        <v>2931</v>
      </c>
      <c r="DY5" s="116">
        <v>2477</v>
      </c>
      <c r="DZ5" s="150"/>
      <c r="EA5" s="117">
        <v>468</v>
      </c>
      <c r="EB5" s="116">
        <v>-3976</v>
      </c>
      <c r="EC5" s="159">
        <v>1193</v>
      </c>
      <c r="EE5" s="125"/>
      <c r="EF5" s="161"/>
      <c r="EG5" s="124"/>
      <c r="EH5" s="253">
        <v>22</v>
      </c>
      <c r="EI5" s="130"/>
      <c r="EJ5" s="125">
        <v>165</v>
      </c>
      <c r="EK5" s="116"/>
      <c r="EL5" s="159"/>
      <c r="EN5" s="129"/>
      <c r="EO5" s="129"/>
      <c r="EP5" s="159"/>
      <c r="EQ5" s="159">
        <v>-1137</v>
      </c>
      <c r="ER5" s="116">
        <v>234</v>
      </c>
      <c r="ES5" s="116">
        <v>1</v>
      </c>
      <c r="ET5" s="160">
        <v>-1628</v>
      </c>
      <c r="EU5" s="116">
        <v>18</v>
      </c>
      <c r="EV5" s="116">
        <v>-19</v>
      </c>
      <c r="EW5" s="160">
        <v>-1856</v>
      </c>
      <c r="EX5" s="160">
        <v>13</v>
      </c>
      <c r="EY5" s="160">
        <v>559</v>
      </c>
      <c r="EZ5" s="116">
        <v>95</v>
      </c>
      <c r="FA5" s="116">
        <v>1499</v>
      </c>
      <c r="FB5" s="116">
        <v>323</v>
      </c>
      <c r="FC5" s="160">
        <v>1000</v>
      </c>
      <c r="FD5" s="116">
        <v>597</v>
      </c>
      <c r="FE5" s="116">
        <v>4508</v>
      </c>
      <c r="FF5" s="3">
        <v>9237</v>
      </c>
      <c r="FG5" s="3">
        <v>4309</v>
      </c>
      <c r="FH5" s="3">
        <v>4928</v>
      </c>
      <c r="FI5" s="3">
        <v>94</v>
      </c>
      <c r="FJ5" s="125">
        <v>10120</v>
      </c>
      <c r="FK5" s="160">
        <v>1476</v>
      </c>
      <c r="FL5" s="125">
        <v>8644</v>
      </c>
      <c r="FM5" s="116">
        <v>57</v>
      </c>
      <c r="FN5" s="125">
        <v>11249</v>
      </c>
      <c r="FO5" s="116">
        <v>1191</v>
      </c>
      <c r="FP5" s="116">
        <v>10058</v>
      </c>
      <c r="FQ5" s="116">
        <v>468</v>
      </c>
      <c r="FR5" s="153">
        <v>1543</v>
      </c>
      <c r="FS5" s="153">
        <v>1708</v>
      </c>
      <c r="FT5" s="276">
        <v>2732</v>
      </c>
      <c r="FU5" s="3">
        <v>237</v>
      </c>
      <c r="FV5" s="159">
        <v>193</v>
      </c>
      <c r="FW5" s="170"/>
      <c r="FZ5" s="155"/>
      <c r="GA5" s="2"/>
      <c r="GD5" s="163"/>
      <c r="GE5" s="2"/>
      <c r="GF5" s="2"/>
    </row>
    <row r="6" spans="1:188" ht="14.5" x14ac:dyDescent="0.35">
      <c r="A6" s="72">
        <v>10</v>
      </c>
      <c r="B6" s="70" t="s">
        <v>4</v>
      </c>
      <c r="C6" s="158">
        <v>11544</v>
      </c>
      <c r="D6" s="171"/>
      <c r="E6" s="128">
        <v>0.3384476903563684</v>
      </c>
      <c r="F6" s="128">
        <v>59.982757781593932</v>
      </c>
      <c r="G6" s="129">
        <v>-5336.5384615384619</v>
      </c>
      <c r="H6" s="216"/>
      <c r="I6" s="172"/>
      <c r="J6" s="218"/>
      <c r="K6" s="128">
        <v>38.205106750895979</v>
      </c>
      <c r="L6" s="129">
        <v>1512.6472626472628</v>
      </c>
      <c r="M6" s="129">
        <v>37.079702135086393</v>
      </c>
      <c r="N6" s="129">
        <v>14889.98613998614</v>
      </c>
      <c r="O6" s="129"/>
      <c r="P6" s="117">
        <v>71741</v>
      </c>
      <c r="Q6" s="161">
        <v>137803</v>
      </c>
      <c r="R6" s="161">
        <v>1547</v>
      </c>
      <c r="S6" s="161">
        <v>-64515</v>
      </c>
      <c r="T6" s="124">
        <v>33798</v>
      </c>
      <c r="U6" s="124">
        <v>38294</v>
      </c>
      <c r="V6" s="136"/>
      <c r="X6" s="116">
        <v>-519</v>
      </c>
      <c r="Y6" s="116">
        <v>610</v>
      </c>
      <c r="Z6" s="161">
        <v>7668</v>
      </c>
      <c r="AA6" s="116">
        <v>6649</v>
      </c>
      <c r="AB6" s="116">
        <v>0</v>
      </c>
      <c r="AD6" s="161">
        <v>1019</v>
      </c>
      <c r="AE6" s="116">
        <v>-4</v>
      </c>
      <c r="AF6" s="116">
        <v>9</v>
      </c>
      <c r="AG6" s="116">
        <v>-17</v>
      </c>
      <c r="AH6" s="116">
        <v>-68</v>
      </c>
      <c r="AI6" s="160">
        <v>939</v>
      </c>
      <c r="AJ6" s="161">
        <v>20657</v>
      </c>
      <c r="AK6" s="161">
        <v>6355</v>
      </c>
      <c r="AL6" s="150"/>
      <c r="AM6" s="161">
        <v>1916</v>
      </c>
      <c r="AN6" s="161">
        <v>-23837</v>
      </c>
      <c r="AO6" s="160">
        <v>-2613</v>
      </c>
      <c r="AQ6" s="160"/>
      <c r="AR6" s="117"/>
      <c r="AS6" s="117"/>
      <c r="AT6" s="99">
        <v>21.25</v>
      </c>
      <c r="AU6" s="130"/>
      <c r="AV6" s="262">
        <v>86</v>
      </c>
      <c r="AW6" s="267">
        <v>11468</v>
      </c>
      <c r="AX6" s="124"/>
      <c r="AY6" s="255">
        <v>0.98395149786019975</v>
      </c>
      <c r="AZ6" s="259">
        <v>65.261180938228804</v>
      </c>
      <c r="BA6" s="160">
        <v>-5163.2368329264036</v>
      </c>
      <c r="BB6" s="130"/>
      <c r="BC6" s="130"/>
      <c r="BD6" s="130"/>
      <c r="BE6" s="128">
        <v>38.499838262623442</v>
      </c>
      <c r="BF6" s="160">
        <v>1616.7596791070807</v>
      </c>
      <c r="BG6" s="129">
        <v>39.883901559045157</v>
      </c>
      <c r="BH6" s="131">
        <v>13921.259155912103</v>
      </c>
      <c r="BI6" s="124"/>
      <c r="BJ6" s="117">
        <v>72735</v>
      </c>
      <c r="BK6" s="117">
        <v>141054</v>
      </c>
      <c r="BL6" s="161">
        <v>562</v>
      </c>
      <c r="BM6" s="161">
        <v>-67757</v>
      </c>
      <c r="BN6" s="117">
        <v>34552</v>
      </c>
      <c r="BO6" s="117">
        <v>38072</v>
      </c>
      <c r="BP6" s="136"/>
      <c r="BR6" s="160">
        <v>-502</v>
      </c>
      <c r="BS6" s="160">
        <v>584</v>
      </c>
      <c r="BT6" s="161">
        <v>4949</v>
      </c>
      <c r="BU6" s="125">
        <v>7456</v>
      </c>
      <c r="BV6" s="160">
        <v>9142</v>
      </c>
      <c r="BX6" s="161">
        <v>6635</v>
      </c>
      <c r="BY6" s="160">
        <v>17</v>
      </c>
      <c r="BZ6" s="160">
        <v>11</v>
      </c>
      <c r="CA6" s="160">
        <v>14</v>
      </c>
      <c r="CB6" s="160">
        <v>-71</v>
      </c>
      <c r="CC6" s="160">
        <v>6578</v>
      </c>
      <c r="CD6" s="160">
        <v>25846</v>
      </c>
      <c r="CE6" s="116">
        <v>4316</v>
      </c>
      <c r="CF6" s="150"/>
      <c r="CG6" s="161">
        <v>-8385</v>
      </c>
      <c r="CH6" s="160">
        <v>-5039</v>
      </c>
      <c r="CI6" s="159">
        <v>1385</v>
      </c>
      <c r="CK6" s="124"/>
      <c r="CL6" s="161"/>
      <c r="CM6" s="124"/>
      <c r="CN6" s="265">
        <v>21.25</v>
      </c>
      <c r="CO6" s="130"/>
      <c r="CP6" s="116">
        <v>153</v>
      </c>
      <c r="CQ6" s="267">
        <v>11332</v>
      </c>
      <c r="CR6" s="124"/>
      <c r="CS6" s="268">
        <v>1.7959693537641572</v>
      </c>
      <c r="CT6" s="269">
        <v>65.19184533807595</v>
      </c>
      <c r="CU6" s="160">
        <v>-5382.3685139428171</v>
      </c>
      <c r="CV6" s="130"/>
      <c r="CW6" s="130"/>
      <c r="CX6" s="130"/>
      <c r="CY6" s="269">
        <v>38.556864660277149</v>
      </c>
      <c r="CZ6" s="125">
        <v>2590.0105894811154</v>
      </c>
      <c r="DA6" s="125">
        <v>66.778142785012122</v>
      </c>
      <c r="DB6" s="273">
        <v>14156.636074832333</v>
      </c>
      <c r="DC6" s="124"/>
      <c r="DD6" s="117">
        <v>73727</v>
      </c>
      <c r="DE6" s="117">
        <v>142464</v>
      </c>
      <c r="DF6" s="117">
        <v>488</v>
      </c>
      <c r="DG6" s="117">
        <v>-68249</v>
      </c>
      <c r="DH6" s="117">
        <v>34963</v>
      </c>
      <c r="DI6" s="117">
        <v>43125</v>
      </c>
      <c r="DJ6" s="136"/>
      <c r="DL6" s="160">
        <v>-534</v>
      </c>
      <c r="DM6" s="160">
        <v>906</v>
      </c>
      <c r="DN6" s="161">
        <v>10211</v>
      </c>
      <c r="DO6" s="116">
        <v>8085</v>
      </c>
      <c r="DP6" s="160">
        <v>0</v>
      </c>
      <c r="DR6" s="161">
        <v>2126</v>
      </c>
      <c r="DS6" s="116">
        <v>-5</v>
      </c>
      <c r="DT6" s="116">
        <v>29</v>
      </c>
      <c r="DU6" s="116">
        <v>21</v>
      </c>
      <c r="DV6" s="116">
        <v>-64</v>
      </c>
      <c r="DW6" s="160">
        <v>2065</v>
      </c>
      <c r="DX6" s="160">
        <v>28359</v>
      </c>
      <c r="DY6" s="116">
        <v>9415</v>
      </c>
      <c r="DZ6" s="150"/>
      <c r="EA6" s="117">
        <v>10985</v>
      </c>
      <c r="EB6" s="116">
        <v>-5432</v>
      </c>
      <c r="EC6" s="159">
        <v>-1708</v>
      </c>
      <c r="EE6" s="125"/>
      <c r="EF6" s="161"/>
      <c r="EG6" s="124"/>
      <c r="EH6" s="253">
        <v>21.25</v>
      </c>
      <c r="EI6" s="130"/>
      <c r="EJ6" s="125">
        <v>191</v>
      </c>
      <c r="EK6" s="116"/>
      <c r="EL6" s="159"/>
      <c r="EN6" s="116"/>
      <c r="EO6" s="116"/>
      <c r="EP6" s="159"/>
      <c r="EQ6" s="159">
        <v>-9478</v>
      </c>
      <c r="ER6" s="116">
        <v>139</v>
      </c>
      <c r="ES6" s="116">
        <v>371</v>
      </c>
      <c r="ET6" s="160">
        <v>-13156</v>
      </c>
      <c r="EU6" s="116">
        <v>466</v>
      </c>
      <c r="EV6" s="116">
        <v>9759</v>
      </c>
      <c r="EW6" s="160">
        <v>-12011</v>
      </c>
      <c r="EX6" s="160">
        <v>591</v>
      </c>
      <c r="EY6" s="160">
        <v>297</v>
      </c>
      <c r="EZ6" s="116">
        <v>25419</v>
      </c>
      <c r="FA6" s="116">
        <v>-996</v>
      </c>
      <c r="FB6" s="116">
        <v>9250</v>
      </c>
      <c r="FC6" s="160">
        <v>3039</v>
      </c>
      <c r="FD6" s="116">
        <v>11822</v>
      </c>
      <c r="FE6" s="116">
        <v>-4269</v>
      </c>
      <c r="FF6" s="3">
        <v>71092</v>
      </c>
      <c r="FG6" s="3">
        <v>64304</v>
      </c>
      <c r="FH6" s="3">
        <v>6788</v>
      </c>
      <c r="FI6" s="3">
        <v>2698</v>
      </c>
      <c r="FJ6" s="125">
        <v>78561</v>
      </c>
      <c r="FK6" s="160">
        <v>67864</v>
      </c>
      <c r="FL6" s="125">
        <v>10697</v>
      </c>
      <c r="FM6" s="116">
        <v>1957</v>
      </c>
      <c r="FN6" s="125">
        <v>80862</v>
      </c>
      <c r="FO6" s="116">
        <v>73460</v>
      </c>
      <c r="FP6" s="116">
        <v>7402</v>
      </c>
      <c r="FQ6" s="116">
        <v>10985</v>
      </c>
      <c r="FR6" s="153">
        <v>1995</v>
      </c>
      <c r="FS6" s="153">
        <v>1494</v>
      </c>
      <c r="FT6" s="276">
        <v>1299</v>
      </c>
      <c r="FU6" s="3">
        <v>1932</v>
      </c>
      <c r="FV6" s="159">
        <v>2372</v>
      </c>
      <c r="FW6" s="170"/>
      <c r="FZ6" s="155"/>
      <c r="GA6" s="2"/>
      <c r="GD6" s="163"/>
      <c r="GE6" s="2"/>
      <c r="GF6" s="2"/>
    </row>
    <row r="7" spans="1:188" ht="14.5" x14ac:dyDescent="0.35">
      <c r="A7" s="72">
        <v>16</v>
      </c>
      <c r="B7" s="70" t="s">
        <v>5</v>
      </c>
      <c r="C7" s="158">
        <v>8149</v>
      </c>
      <c r="D7" s="171"/>
      <c r="E7" s="128">
        <v>6.1349999999999998</v>
      </c>
      <c r="F7" s="128">
        <v>38.468645982923107</v>
      </c>
      <c r="G7" s="129">
        <v>-2786.845011657872</v>
      </c>
      <c r="H7" s="216"/>
      <c r="I7" s="172"/>
      <c r="J7" s="218"/>
      <c r="K7" s="128">
        <v>47.373709017301756</v>
      </c>
      <c r="L7" s="129">
        <v>941.58792489876055</v>
      </c>
      <c r="M7" s="129">
        <v>31.678637679847974</v>
      </c>
      <c r="N7" s="129">
        <v>10848.938520063812</v>
      </c>
      <c r="O7" s="129"/>
      <c r="P7" s="117">
        <v>43453</v>
      </c>
      <c r="Q7" s="161">
        <v>84756</v>
      </c>
      <c r="R7" s="161">
        <v>-6</v>
      </c>
      <c r="S7" s="161">
        <v>-41309</v>
      </c>
      <c r="T7" s="124">
        <v>28838</v>
      </c>
      <c r="U7" s="124">
        <v>17538</v>
      </c>
      <c r="V7" s="136"/>
      <c r="X7" s="116">
        <v>-109</v>
      </c>
      <c r="Y7" s="116">
        <v>-163</v>
      </c>
      <c r="Z7" s="161">
        <v>4795</v>
      </c>
      <c r="AA7" s="116">
        <v>4165</v>
      </c>
      <c r="AB7" s="116">
        <v>263</v>
      </c>
      <c r="AD7" s="161">
        <v>893</v>
      </c>
      <c r="AE7" s="117">
        <v>0</v>
      </c>
      <c r="AF7" s="117">
        <v>0</v>
      </c>
      <c r="AG7" s="116">
        <v>-13</v>
      </c>
      <c r="AH7" s="116">
        <v>-59</v>
      </c>
      <c r="AI7" s="160">
        <v>821</v>
      </c>
      <c r="AJ7" s="161">
        <v>10527</v>
      </c>
      <c r="AK7" s="161">
        <v>4897</v>
      </c>
      <c r="AL7" s="150"/>
      <c r="AM7" s="161">
        <v>1261</v>
      </c>
      <c r="AN7" s="161">
        <v>-687</v>
      </c>
      <c r="AO7" s="160">
        <v>2672</v>
      </c>
      <c r="AQ7" s="160"/>
      <c r="AR7" s="117"/>
      <c r="AS7" s="117"/>
      <c r="AT7" s="99">
        <v>20.75</v>
      </c>
      <c r="AU7" s="130"/>
      <c r="AV7" s="262">
        <v>118</v>
      </c>
      <c r="AW7" s="267">
        <v>8083</v>
      </c>
      <c r="AX7" s="124"/>
      <c r="AY7" s="255">
        <v>3.4315286624203822</v>
      </c>
      <c r="AZ7" s="259">
        <v>34.112320399208464</v>
      </c>
      <c r="BA7" s="160">
        <v>-2855.3754794012125</v>
      </c>
      <c r="BB7" s="130"/>
      <c r="BC7" s="130"/>
      <c r="BD7" s="130"/>
      <c r="BE7" s="128">
        <v>49.385642789631078</v>
      </c>
      <c r="BF7" s="160">
        <v>490.28825930966224</v>
      </c>
      <c r="BG7" s="129">
        <v>29.704665740377376</v>
      </c>
      <c r="BH7" s="131">
        <v>11664.357293084251</v>
      </c>
      <c r="BI7" s="124"/>
      <c r="BJ7" s="117">
        <v>42608</v>
      </c>
      <c r="BK7" s="117">
        <v>88825</v>
      </c>
      <c r="BL7" s="161">
        <v>16</v>
      </c>
      <c r="BM7" s="161">
        <v>-46201</v>
      </c>
      <c r="BN7" s="117">
        <v>29745</v>
      </c>
      <c r="BO7" s="117">
        <v>20631</v>
      </c>
      <c r="BP7" s="136"/>
      <c r="BR7" s="160">
        <v>-93</v>
      </c>
      <c r="BS7" s="160">
        <v>124</v>
      </c>
      <c r="BT7" s="161">
        <v>4206</v>
      </c>
      <c r="BU7" s="125">
        <v>4111</v>
      </c>
      <c r="BV7" s="160">
        <v>-266</v>
      </c>
      <c r="BX7" s="161">
        <v>-171</v>
      </c>
      <c r="BY7" s="161">
        <v>-2</v>
      </c>
      <c r="BZ7" s="160">
        <v>0</v>
      </c>
      <c r="CA7" s="160">
        <v>3</v>
      </c>
      <c r="CB7" s="160">
        <v>-28</v>
      </c>
      <c r="CC7" s="160">
        <v>-204</v>
      </c>
      <c r="CD7" s="160">
        <v>10323</v>
      </c>
      <c r="CE7" s="116">
        <v>3682</v>
      </c>
      <c r="CF7" s="150"/>
      <c r="CG7" s="161">
        <v>-503</v>
      </c>
      <c r="CH7" s="160">
        <v>-1152</v>
      </c>
      <c r="CI7" s="159">
        <v>-215</v>
      </c>
      <c r="CK7" s="124"/>
      <c r="CL7" s="161"/>
      <c r="CM7" s="124"/>
      <c r="CN7" s="265">
        <v>20.75</v>
      </c>
      <c r="CO7" s="130"/>
      <c r="CP7" s="116">
        <v>115</v>
      </c>
      <c r="CQ7" s="267">
        <v>8059</v>
      </c>
      <c r="CR7" s="124"/>
      <c r="CS7" s="268">
        <v>13.188106796116505</v>
      </c>
      <c r="CT7" s="269">
        <v>26.382677324698978</v>
      </c>
      <c r="CU7" s="160">
        <v>-2044.2983000372258</v>
      </c>
      <c r="CV7" s="130"/>
      <c r="CW7" s="130"/>
      <c r="CX7" s="130"/>
      <c r="CY7" s="269">
        <v>58.082631367829926</v>
      </c>
      <c r="CZ7" s="125">
        <v>693.01402159076804</v>
      </c>
      <c r="DA7" s="125">
        <v>21.775623564599691</v>
      </c>
      <c r="DB7" s="273">
        <v>11616.205484551432</v>
      </c>
      <c r="DC7" s="124"/>
      <c r="DD7" s="117">
        <v>42719</v>
      </c>
      <c r="DE7" s="117">
        <v>87980</v>
      </c>
      <c r="DF7" s="117">
        <v>7</v>
      </c>
      <c r="DG7" s="117">
        <v>-45254</v>
      </c>
      <c r="DH7" s="117">
        <v>31842</v>
      </c>
      <c r="DI7" s="117">
        <v>24269</v>
      </c>
      <c r="DJ7" s="136"/>
      <c r="DL7" s="160">
        <v>-130</v>
      </c>
      <c r="DM7" s="160">
        <v>1</v>
      </c>
      <c r="DN7" s="161">
        <v>10728</v>
      </c>
      <c r="DO7" s="116">
        <v>4146</v>
      </c>
      <c r="DP7" s="160">
        <v>0</v>
      </c>
      <c r="DR7" s="161">
        <v>6582</v>
      </c>
      <c r="DS7" s="117">
        <v>-2</v>
      </c>
      <c r="DT7" s="116">
        <v>0</v>
      </c>
      <c r="DU7" s="116">
        <v>1</v>
      </c>
      <c r="DV7" s="116">
        <v>-57</v>
      </c>
      <c r="DW7" s="160">
        <v>6522</v>
      </c>
      <c r="DX7" s="160">
        <v>16120</v>
      </c>
      <c r="DY7" s="116">
        <v>10566</v>
      </c>
      <c r="DZ7" s="150"/>
      <c r="EA7" s="117">
        <v>822</v>
      </c>
      <c r="EB7" s="116">
        <v>-685</v>
      </c>
      <c r="EC7" s="159">
        <v>6435</v>
      </c>
      <c r="EE7" s="125"/>
      <c r="EF7" s="161"/>
      <c r="EG7" s="124"/>
      <c r="EH7" s="253">
        <v>20.75</v>
      </c>
      <c r="EI7" s="130"/>
      <c r="EJ7" s="125">
        <v>46</v>
      </c>
      <c r="EK7" s="116"/>
      <c r="EL7" s="159"/>
      <c r="EN7" s="116"/>
      <c r="EO7" s="116"/>
      <c r="EP7" s="159"/>
      <c r="EQ7" s="159">
        <v>-2610</v>
      </c>
      <c r="ER7" s="116">
        <v>106</v>
      </c>
      <c r="ES7" s="116">
        <v>279</v>
      </c>
      <c r="ET7" s="160">
        <v>-3980</v>
      </c>
      <c r="EU7" s="116">
        <v>3</v>
      </c>
      <c r="EV7" s="116">
        <v>80</v>
      </c>
      <c r="EW7" s="160">
        <v>-4516</v>
      </c>
      <c r="EX7" s="160">
        <v>25</v>
      </c>
      <c r="EY7" s="160">
        <v>360</v>
      </c>
      <c r="EZ7" s="116">
        <v>82</v>
      </c>
      <c r="FA7" s="116">
        <v>-1150</v>
      </c>
      <c r="FB7" s="116">
        <v>12</v>
      </c>
      <c r="FC7" s="160">
        <v>-2530</v>
      </c>
      <c r="FD7" s="116">
        <v>0</v>
      </c>
      <c r="FE7" s="116">
        <v>-5668</v>
      </c>
      <c r="FF7" s="3">
        <v>23108</v>
      </c>
      <c r="FG7" s="3">
        <v>8822</v>
      </c>
      <c r="FH7" s="3">
        <v>14286</v>
      </c>
      <c r="FI7" s="3">
        <v>344</v>
      </c>
      <c r="FJ7" s="125">
        <v>19437</v>
      </c>
      <c r="FK7" s="160">
        <v>7683</v>
      </c>
      <c r="FL7" s="125">
        <v>11754</v>
      </c>
      <c r="FM7" s="116">
        <v>350</v>
      </c>
      <c r="FN7" s="125">
        <v>13084</v>
      </c>
      <c r="FO7" s="116">
        <v>7002</v>
      </c>
      <c r="FP7" s="116">
        <v>6082</v>
      </c>
      <c r="FQ7" s="116">
        <v>822</v>
      </c>
      <c r="FR7" s="153">
        <v>12</v>
      </c>
      <c r="FS7" s="153">
        <v>11</v>
      </c>
      <c r="FT7" s="276">
        <v>0</v>
      </c>
      <c r="FU7" s="3">
        <v>16410</v>
      </c>
      <c r="FV7" s="159">
        <v>13868</v>
      </c>
      <c r="FW7" s="170"/>
      <c r="FZ7" s="155"/>
      <c r="GA7" s="2"/>
      <c r="GD7" s="163"/>
      <c r="GE7" s="2"/>
      <c r="GF7" s="2"/>
    </row>
    <row r="8" spans="1:188" ht="14.5" x14ac:dyDescent="0.35">
      <c r="A8" s="72">
        <v>18</v>
      </c>
      <c r="B8" s="70" t="s">
        <v>6</v>
      </c>
      <c r="C8" s="158">
        <v>4958</v>
      </c>
      <c r="D8" s="171"/>
      <c r="E8" s="128">
        <v>0.55878712871287128</v>
      </c>
      <c r="F8" s="128">
        <v>80.769047278278705</v>
      </c>
      <c r="G8" s="129">
        <v>-5369.9072206534893</v>
      </c>
      <c r="H8" s="216"/>
      <c r="I8" s="172"/>
      <c r="J8" s="218"/>
      <c r="K8" s="128">
        <v>16.294861424496574</v>
      </c>
      <c r="L8" s="129">
        <v>1060.9116579265833</v>
      </c>
      <c r="M8" s="129">
        <v>40.30355193551096</v>
      </c>
      <c r="N8" s="129">
        <v>9607.9064138765625</v>
      </c>
      <c r="O8" s="129"/>
      <c r="P8" s="117">
        <v>14418</v>
      </c>
      <c r="Q8" s="161">
        <v>41260</v>
      </c>
      <c r="R8" s="161">
        <v>-2</v>
      </c>
      <c r="S8" s="161">
        <v>-26844</v>
      </c>
      <c r="T8" s="124">
        <v>18547</v>
      </c>
      <c r="U8" s="124">
        <v>8957</v>
      </c>
      <c r="V8" s="136"/>
      <c r="X8" s="116">
        <v>-216</v>
      </c>
      <c r="Y8" s="116">
        <v>243</v>
      </c>
      <c r="Z8" s="161">
        <v>687</v>
      </c>
      <c r="AA8" s="116">
        <v>2089</v>
      </c>
      <c r="AB8" s="116">
        <v>2228</v>
      </c>
      <c r="AD8" s="161">
        <v>826</v>
      </c>
      <c r="AE8" s="116">
        <v>0</v>
      </c>
      <c r="AF8" s="116">
        <v>178</v>
      </c>
      <c r="AG8" s="116">
        <v>-6</v>
      </c>
      <c r="AH8" s="116">
        <v>0</v>
      </c>
      <c r="AI8" s="160">
        <v>998</v>
      </c>
      <c r="AJ8" s="161">
        <v>-1633</v>
      </c>
      <c r="AK8" s="161">
        <v>2718</v>
      </c>
      <c r="AL8" s="150"/>
      <c r="AM8" s="161">
        <v>201</v>
      </c>
      <c r="AN8" s="161">
        <v>-1400</v>
      </c>
      <c r="AO8" s="160">
        <v>-1523</v>
      </c>
      <c r="AQ8" s="160"/>
      <c r="AR8" s="117"/>
      <c r="AS8" s="117"/>
      <c r="AT8" s="99">
        <v>20.75</v>
      </c>
      <c r="AU8" s="130"/>
      <c r="AV8" s="262">
        <v>265</v>
      </c>
      <c r="AW8" s="267">
        <v>4943</v>
      </c>
      <c r="AX8" s="124"/>
      <c r="AY8" s="255">
        <v>1.7619047619047619</v>
      </c>
      <c r="AZ8" s="259">
        <v>84.320400974064356</v>
      </c>
      <c r="BA8" s="160">
        <v>-5149.0997370018213</v>
      </c>
      <c r="BB8" s="130"/>
      <c r="BC8" s="130"/>
      <c r="BD8" s="130"/>
      <c r="BE8" s="128">
        <v>21.089637758570458</v>
      </c>
      <c r="BF8" s="160">
        <v>1390.4511430305481</v>
      </c>
      <c r="BG8" s="129">
        <v>41.543688059895267</v>
      </c>
      <c r="BH8" s="131">
        <v>9349.3829658102368</v>
      </c>
      <c r="BI8" s="124"/>
      <c r="BJ8" s="117">
        <v>14287</v>
      </c>
      <c r="BK8" s="117">
        <v>39474</v>
      </c>
      <c r="BL8" s="161">
        <v>3</v>
      </c>
      <c r="BM8" s="161">
        <v>-25184</v>
      </c>
      <c r="BN8" s="117">
        <v>19707</v>
      </c>
      <c r="BO8" s="117">
        <v>8303</v>
      </c>
      <c r="BP8" s="136"/>
      <c r="BR8" s="160">
        <v>-274</v>
      </c>
      <c r="BS8" s="160">
        <v>281</v>
      </c>
      <c r="BT8" s="161">
        <v>2833</v>
      </c>
      <c r="BU8" s="125">
        <v>2340</v>
      </c>
      <c r="BV8" s="160">
        <v>2496</v>
      </c>
      <c r="BX8" s="161">
        <v>2989</v>
      </c>
      <c r="BY8" s="160">
        <v>-2</v>
      </c>
      <c r="BZ8" s="160">
        <v>7</v>
      </c>
      <c r="CA8" s="160">
        <v>1</v>
      </c>
      <c r="CB8" s="160">
        <v>0</v>
      </c>
      <c r="CC8" s="160">
        <v>2993</v>
      </c>
      <c r="CD8" s="160">
        <v>1595</v>
      </c>
      <c r="CE8" s="116">
        <v>5184</v>
      </c>
      <c r="CF8" s="150"/>
      <c r="CG8" s="160">
        <v>-1599</v>
      </c>
      <c r="CH8" s="160">
        <v>-1489</v>
      </c>
      <c r="CI8" s="159">
        <v>835</v>
      </c>
      <c r="CK8" s="124"/>
      <c r="CL8" s="161"/>
      <c r="CM8" s="124"/>
      <c r="CN8" s="265">
        <v>21.5</v>
      </c>
      <c r="CO8" s="130"/>
      <c r="CP8" s="116">
        <v>100</v>
      </c>
      <c r="CQ8" s="267">
        <v>4878</v>
      </c>
      <c r="CR8" s="124"/>
      <c r="CS8" s="268">
        <v>2.681174089068826</v>
      </c>
      <c r="CT8" s="269">
        <v>79.464790501915942</v>
      </c>
      <c r="CU8" s="160">
        <v>-5142.886428864289</v>
      </c>
      <c r="CV8" s="130"/>
      <c r="CW8" s="130"/>
      <c r="CX8" s="130"/>
      <c r="CY8" s="269">
        <v>28.019906499773789</v>
      </c>
      <c r="CZ8" s="125">
        <v>2148.4214842148422</v>
      </c>
      <c r="DA8" s="125">
        <v>77.656421291972876</v>
      </c>
      <c r="DB8" s="273">
        <v>10097.990979909799</v>
      </c>
      <c r="DC8" s="124"/>
      <c r="DD8" s="117">
        <v>17350</v>
      </c>
      <c r="DE8" s="117">
        <v>42794</v>
      </c>
      <c r="DF8" s="117">
        <v>-1</v>
      </c>
      <c r="DG8" s="117">
        <v>-25445</v>
      </c>
      <c r="DH8" s="117">
        <v>20456</v>
      </c>
      <c r="DI8" s="117">
        <v>9951</v>
      </c>
      <c r="DJ8" s="136"/>
      <c r="DL8" s="160">
        <v>-219</v>
      </c>
      <c r="DM8" s="160">
        <v>330</v>
      </c>
      <c r="DN8" s="161">
        <v>5073</v>
      </c>
      <c r="DO8" s="116">
        <v>2989</v>
      </c>
      <c r="DP8" s="160">
        <v>0</v>
      </c>
      <c r="DR8" s="161">
        <v>2084</v>
      </c>
      <c r="DS8" s="116">
        <v>-1</v>
      </c>
      <c r="DT8" s="116">
        <v>6</v>
      </c>
      <c r="DU8" s="116">
        <v>11</v>
      </c>
      <c r="DV8" s="116">
        <v>0</v>
      </c>
      <c r="DW8" s="160">
        <v>2078</v>
      </c>
      <c r="DX8" s="160">
        <v>3673</v>
      </c>
      <c r="DY8" s="116">
        <v>5034</v>
      </c>
      <c r="DZ8" s="150"/>
      <c r="EA8" s="116">
        <v>1301</v>
      </c>
      <c r="EB8" s="116">
        <v>-1751</v>
      </c>
      <c r="EC8" s="159">
        <v>865</v>
      </c>
      <c r="EE8" s="125"/>
      <c r="EF8" s="161"/>
      <c r="EG8" s="124"/>
      <c r="EH8" s="253">
        <v>21.5</v>
      </c>
      <c r="EI8" s="130"/>
      <c r="EJ8" s="125">
        <v>117</v>
      </c>
      <c r="EK8" s="116"/>
      <c r="EL8" s="159"/>
      <c r="EN8" s="116"/>
      <c r="EO8" s="116"/>
      <c r="EP8" s="159"/>
      <c r="EQ8" s="159">
        <v>-4701</v>
      </c>
      <c r="ER8" s="116">
        <v>21</v>
      </c>
      <c r="ES8" s="116">
        <v>439</v>
      </c>
      <c r="ET8" s="160">
        <v>-4914</v>
      </c>
      <c r="EU8" s="116">
        <v>308</v>
      </c>
      <c r="EV8" s="116">
        <v>257</v>
      </c>
      <c r="EW8" s="160">
        <v>-4429</v>
      </c>
      <c r="EX8" s="160">
        <v>132</v>
      </c>
      <c r="EY8" s="160">
        <v>128</v>
      </c>
      <c r="EZ8" s="116">
        <v>7045</v>
      </c>
      <c r="FA8" s="116">
        <v>-1916</v>
      </c>
      <c r="FB8" s="116">
        <v>5527</v>
      </c>
      <c r="FC8" s="160">
        <v>-1757</v>
      </c>
      <c r="FD8" s="116">
        <v>726</v>
      </c>
      <c r="FE8" s="116">
        <v>3270</v>
      </c>
      <c r="FF8" s="3">
        <v>28168</v>
      </c>
      <c r="FG8" s="3">
        <v>21682</v>
      </c>
      <c r="FH8" s="3">
        <v>6486</v>
      </c>
      <c r="FI8" s="3">
        <v>0</v>
      </c>
      <c r="FJ8" s="125">
        <v>29815</v>
      </c>
      <c r="FK8" s="160">
        <v>25380</v>
      </c>
      <c r="FL8" s="125">
        <v>4435</v>
      </c>
      <c r="FM8" s="116">
        <v>0</v>
      </c>
      <c r="FN8" s="125">
        <v>32665</v>
      </c>
      <c r="FO8" s="116">
        <v>24845</v>
      </c>
      <c r="FP8" s="116">
        <v>7820</v>
      </c>
      <c r="FQ8" s="116">
        <v>1301</v>
      </c>
      <c r="FR8" s="153">
        <v>2000</v>
      </c>
      <c r="FS8" s="153">
        <v>2000</v>
      </c>
      <c r="FT8" s="276">
        <v>2000</v>
      </c>
      <c r="FU8" s="3">
        <v>345</v>
      </c>
      <c r="FV8" s="159">
        <v>1267</v>
      </c>
      <c r="FW8" s="170"/>
      <c r="FZ8" s="155"/>
      <c r="GA8" s="2"/>
      <c r="GD8" s="163"/>
      <c r="GE8" s="2"/>
      <c r="GF8" s="2"/>
    </row>
    <row r="9" spans="1:188" ht="14.5" x14ac:dyDescent="0.35">
      <c r="A9" s="72">
        <v>19</v>
      </c>
      <c r="B9" s="70" t="s">
        <v>7</v>
      </c>
      <c r="C9" s="158">
        <v>3984</v>
      </c>
      <c r="D9" s="171"/>
      <c r="E9" s="128">
        <v>1.2023622047244094</v>
      </c>
      <c r="F9" s="128">
        <v>56.550585501574588</v>
      </c>
      <c r="G9" s="129">
        <v>-3912.9016064257025</v>
      </c>
      <c r="H9" s="216"/>
      <c r="I9" s="172"/>
      <c r="J9" s="218"/>
      <c r="K9" s="128">
        <v>25.069680424573328</v>
      </c>
      <c r="L9" s="129">
        <v>261.29518072289153</v>
      </c>
      <c r="M9" s="129">
        <v>10.90787736119883</v>
      </c>
      <c r="N9" s="129">
        <v>8743.4738955823304</v>
      </c>
      <c r="O9" s="129"/>
      <c r="P9" s="117">
        <v>12003</v>
      </c>
      <c r="Q9" s="161">
        <v>31204</v>
      </c>
      <c r="R9" s="161">
        <v>1</v>
      </c>
      <c r="S9" s="161">
        <v>-19200</v>
      </c>
      <c r="T9" s="124">
        <v>14314</v>
      </c>
      <c r="U9" s="124">
        <v>6390</v>
      </c>
      <c r="V9" s="136"/>
      <c r="X9" s="116">
        <v>-52</v>
      </c>
      <c r="Y9" s="116">
        <v>23</v>
      </c>
      <c r="Z9" s="161">
        <v>1475</v>
      </c>
      <c r="AA9" s="116">
        <v>1297</v>
      </c>
      <c r="AB9" s="117">
        <v>0</v>
      </c>
      <c r="AD9" s="161">
        <v>178</v>
      </c>
      <c r="AE9" s="117">
        <v>-41</v>
      </c>
      <c r="AF9" s="117">
        <v>-81</v>
      </c>
      <c r="AG9" s="116">
        <v>0</v>
      </c>
      <c r="AH9" s="116">
        <v>-21</v>
      </c>
      <c r="AI9" s="160">
        <v>35</v>
      </c>
      <c r="AJ9" s="161">
        <v>1642</v>
      </c>
      <c r="AK9" s="161">
        <v>1562</v>
      </c>
      <c r="AL9" s="150"/>
      <c r="AM9" s="161">
        <v>-278</v>
      </c>
      <c r="AN9" s="161">
        <v>-1218</v>
      </c>
      <c r="AO9" s="160">
        <v>-850</v>
      </c>
      <c r="AQ9" s="160"/>
      <c r="AR9" s="117"/>
      <c r="AS9" s="117"/>
      <c r="AT9" s="99">
        <v>21.75</v>
      </c>
      <c r="AU9" s="130"/>
      <c r="AV9" s="262">
        <v>189</v>
      </c>
      <c r="AW9" s="267">
        <v>3941</v>
      </c>
      <c r="AX9" s="124"/>
      <c r="AY9" s="255">
        <v>1.3693239152371341</v>
      </c>
      <c r="AZ9" s="259">
        <v>58.695847698995649</v>
      </c>
      <c r="BA9" s="160">
        <v>-3963.9685359045925</v>
      </c>
      <c r="BB9" s="130"/>
      <c r="BC9" s="130"/>
      <c r="BD9" s="130"/>
      <c r="BE9" s="128">
        <v>25.486531061022539</v>
      </c>
      <c r="BF9" s="160">
        <v>507.99289520426282</v>
      </c>
      <c r="BG9" s="129">
        <v>11.029462989840347</v>
      </c>
      <c r="BH9" s="131">
        <v>8741.4361837097185</v>
      </c>
      <c r="BI9" s="124"/>
      <c r="BJ9" s="117">
        <v>12253</v>
      </c>
      <c r="BK9" s="117">
        <v>32020</v>
      </c>
      <c r="BL9" s="161">
        <v>7</v>
      </c>
      <c r="BM9" s="161">
        <v>-19760</v>
      </c>
      <c r="BN9" s="117">
        <v>14707</v>
      </c>
      <c r="BO9" s="117">
        <v>6395</v>
      </c>
      <c r="BP9" s="136"/>
      <c r="BR9" s="160">
        <v>-50</v>
      </c>
      <c r="BS9" s="160">
        <v>15</v>
      </c>
      <c r="BT9" s="161">
        <v>1307</v>
      </c>
      <c r="BU9" s="125">
        <v>1309</v>
      </c>
      <c r="BV9" s="161">
        <v>-1</v>
      </c>
      <c r="BX9" s="161">
        <v>-3</v>
      </c>
      <c r="BY9" s="161">
        <v>-46</v>
      </c>
      <c r="BZ9" s="160">
        <v>-107</v>
      </c>
      <c r="CA9" s="160">
        <v>0</v>
      </c>
      <c r="CB9" s="160">
        <v>-26</v>
      </c>
      <c r="CC9" s="160">
        <v>-182</v>
      </c>
      <c r="CD9" s="160">
        <v>1610</v>
      </c>
      <c r="CE9" s="116">
        <v>1331</v>
      </c>
      <c r="CF9" s="150"/>
      <c r="CG9" s="161">
        <v>-87</v>
      </c>
      <c r="CH9" s="160">
        <v>-941</v>
      </c>
      <c r="CI9" s="159">
        <v>121</v>
      </c>
      <c r="CK9" s="124"/>
      <c r="CL9" s="161"/>
      <c r="CM9" s="124"/>
      <c r="CN9" s="265">
        <v>21.75</v>
      </c>
      <c r="CO9" s="130"/>
      <c r="CP9" s="116">
        <v>197</v>
      </c>
      <c r="CQ9" s="267">
        <v>3959</v>
      </c>
      <c r="CR9" s="124"/>
      <c r="CS9" s="268">
        <v>2.2308132875143185</v>
      </c>
      <c r="CT9" s="269">
        <v>52.070246353853719</v>
      </c>
      <c r="CU9" s="160">
        <v>-3303.3594342005558</v>
      </c>
      <c r="CV9" s="130"/>
      <c r="CW9" s="130"/>
      <c r="CX9" s="130"/>
      <c r="CY9" s="269">
        <v>31.96777277072238</v>
      </c>
      <c r="CZ9" s="125">
        <v>1051.2755746400605</v>
      </c>
      <c r="DA9" s="125">
        <v>42.307349541872057</v>
      </c>
      <c r="DB9" s="273">
        <v>9069.7145743874717</v>
      </c>
      <c r="DC9" s="124"/>
      <c r="DD9" s="117">
        <v>12469</v>
      </c>
      <c r="DE9" s="117">
        <v>32750</v>
      </c>
      <c r="DF9" s="117">
        <v>9</v>
      </c>
      <c r="DG9" s="117">
        <v>-20272</v>
      </c>
      <c r="DH9" s="117">
        <v>15595</v>
      </c>
      <c r="DI9" s="117">
        <v>8550</v>
      </c>
      <c r="DJ9" s="136"/>
      <c r="DL9" s="160">
        <v>-63</v>
      </c>
      <c r="DM9" s="160">
        <v>21</v>
      </c>
      <c r="DN9" s="161">
        <v>3831</v>
      </c>
      <c r="DO9" s="116">
        <v>1367</v>
      </c>
      <c r="DP9" s="161">
        <v>0</v>
      </c>
      <c r="DR9" s="161">
        <v>2464</v>
      </c>
      <c r="DS9" s="117">
        <v>-32</v>
      </c>
      <c r="DT9" s="116">
        <v>-66</v>
      </c>
      <c r="DU9" s="116">
        <v>0</v>
      </c>
      <c r="DV9" s="116">
        <v>-15</v>
      </c>
      <c r="DW9" s="160">
        <v>2351</v>
      </c>
      <c r="DX9" s="160">
        <v>3988</v>
      </c>
      <c r="DY9" s="116">
        <v>3888</v>
      </c>
      <c r="DZ9" s="150"/>
      <c r="EA9" s="117">
        <v>129</v>
      </c>
      <c r="EB9" s="116">
        <v>-1682</v>
      </c>
      <c r="EC9" s="159">
        <v>2393</v>
      </c>
      <c r="EE9" s="125"/>
      <c r="EF9" s="161"/>
      <c r="EG9" s="124"/>
      <c r="EH9" s="253">
        <v>21.5</v>
      </c>
      <c r="EI9" s="130"/>
      <c r="EJ9" s="125">
        <v>141</v>
      </c>
      <c r="EK9" s="116"/>
      <c r="EL9" s="159"/>
      <c r="EN9" s="116"/>
      <c r="EO9" s="116"/>
      <c r="EP9" s="159"/>
      <c r="EQ9" s="159">
        <v>-2336</v>
      </c>
      <c r="ER9" s="116">
        <v>16</v>
      </c>
      <c r="ES9" s="116">
        <v>-92</v>
      </c>
      <c r="ET9" s="160">
        <v>-1414</v>
      </c>
      <c r="EU9" s="116">
        <v>26</v>
      </c>
      <c r="EV9" s="116">
        <v>178</v>
      </c>
      <c r="EW9" s="160">
        <v>-1397</v>
      </c>
      <c r="EX9" s="160">
        <v>20</v>
      </c>
      <c r="EY9" s="160">
        <v>-118</v>
      </c>
      <c r="EZ9" s="116">
        <v>225</v>
      </c>
      <c r="FA9" s="116">
        <v>464</v>
      </c>
      <c r="FB9" s="116">
        <v>5095</v>
      </c>
      <c r="FC9" s="160">
        <v>-2855</v>
      </c>
      <c r="FD9" s="116">
        <v>132</v>
      </c>
      <c r="FE9" s="116">
        <v>592</v>
      </c>
      <c r="FF9" s="3">
        <v>14251</v>
      </c>
      <c r="FG9" s="3">
        <v>3750</v>
      </c>
      <c r="FH9" s="3">
        <v>10501</v>
      </c>
      <c r="FI9" s="3">
        <v>0</v>
      </c>
      <c r="FJ9" s="125">
        <v>15560</v>
      </c>
      <c r="FK9" s="160">
        <v>7404</v>
      </c>
      <c r="FL9" s="125">
        <v>8156</v>
      </c>
      <c r="FM9" s="116">
        <v>0</v>
      </c>
      <c r="FN9" s="125">
        <v>14602</v>
      </c>
      <c r="FO9" s="116">
        <v>6082</v>
      </c>
      <c r="FP9" s="116">
        <v>8520</v>
      </c>
      <c r="FQ9" s="116">
        <v>129</v>
      </c>
      <c r="FR9" s="153">
        <v>1020</v>
      </c>
      <c r="FS9" s="153">
        <v>657</v>
      </c>
      <c r="FT9" s="276">
        <v>773</v>
      </c>
      <c r="FU9" s="3">
        <v>1286</v>
      </c>
      <c r="FV9" s="159">
        <v>1570</v>
      </c>
      <c r="FW9" s="170"/>
      <c r="FZ9" s="155"/>
      <c r="GA9" s="2"/>
      <c r="GD9" s="163"/>
      <c r="GE9" s="2"/>
      <c r="GF9" s="2"/>
    </row>
    <row r="10" spans="1:188" ht="14.5" x14ac:dyDescent="0.35">
      <c r="A10" s="72">
        <v>46</v>
      </c>
      <c r="B10" s="70" t="s">
        <v>8</v>
      </c>
      <c r="C10" s="158">
        <v>1405</v>
      </c>
      <c r="D10" s="171"/>
      <c r="E10" s="128">
        <v>7.7179487179487181</v>
      </c>
      <c r="F10" s="128">
        <v>18.698988319241483</v>
      </c>
      <c r="G10" s="129">
        <v>748.75444839857653</v>
      </c>
      <c r="H10" s="216"/>
      <c r="I10" s="172"/>
      <c r="J10" s="218"/>
      <c r="K10" s="128">
        <v>74.059745037102815</v>
      </c>
      <c r="L10" s="129">
        <v>2365.8362989323846</v>
      </c>
      <c r="M10" s="129">
        <v>57.851420942208662</v>
      </c>
      <c r="N10" s="129">
        <v>14926.690391459075</v>
      </c>
      <c r="O10" s="129"/>
      <c r="P10" s="117">
        <v>10151</v>
      </c>
      <c r="Q10" s="161">
        <v>19928</v>
      </c>
      <c r="R10" s="161">
        <v>0</v>
      </c>
      <c r="S10" s="161">
        <v>-9777</v>
      </c>
      <c r="T10" s="124">
        <v>4481</v>
      </c>
      <c r="U10" s="124">
        <v>5829</v>
      </c>
      <c r="V10" s="136"/>
      <c r="X10" s="116">
        <v>-7</v>
      </c>
      <c r="Y10" s="116">
        <v>62</v>
      </c>
      <c r="Z10" s="161">
        <v>588</v>
      </c>
      <c r="AA10" s="116">
        <v>843</v>
      </c>
      <c r="AB10" s="116">
        <v>5</v>
      </c>
      <c r="AD10" s="161">
        <v>-250</v>
      </c>
      <c r="AE10" s="116">
        <v>0</v>
      </c>
      <c r="AF10" s="116">
        <v>1</v>
      </c>
      <c r="AG10" s="116">
        <v>-1</v>
      </c>
      <c r="AH10" s="117">
        <v>-8</v>
      </c>
      <c r="AI10" s="160">
        <v>-258</v>
      </c>
      <c r="AJ10" s="161">
        <v>6659</v>
      </c>
      <c r="AK10" s="161">
        <v>577</v>
      </c>
      <c r="AL10" s="150"/>
      <c r="AM10" s="161">
        <v>469</v>
      </c>
      <c r="AN10" s="161">
        <v>-64</v>
      </c>
      <c r="AO10" s="160">
        <v>-225</v>
      </c>
      <c r="AQ10" s="160"/>
      <c r="AR10" s="117"/>
      <c r="AS10" s="117"/>
      <c r="AT10" s="99">
        <v>21</v>
      </c>
      <c r="AU10" s="130"/>
      <c r="AV10" s="262">
        <v>174</v>
      </c>
      <c r="AW10" s="267">
        <v>1361</v>
      </c>
      <c r="AX10" s="124"/>
      <c r="AY10" s="255">
        <v>15.931506849315069</v>
      </c>
      <c r="AZ10" s="259">
        <v>15.756728079482976</v>
      </c>
      <c r="BA10" s="160">
        <v>1111.6825863335782</v>
      </c>
      <c r="BB10" s="130"/>
      <c r="BC10" s="130"/>
      <c r="BD10" s="130"/>
      <c r="BE10" s="128">
        <v>77.53552657192914</v>
      </c>
      <c r="BF10" s="160">
        <v>2612.0499632623073</v>
      </c>
      <c r="BG10" s="129">
        <v>59.331018631717932</v>
      </c>
      <c r="BH10" s="131">
        <v>15024.981631153563</v>
      </c>
      <c r="BI10" s="124"/>
      <c r="BJ10" s="117">
        <v>10276</v>
      </c>
      <c r="BK10" s="117">
        <v>19669</v>
      </c>
      <c r="BL10" s="161">
        <v>0</v>
      </c>
      <c r="BM10" s="161">
        <v>-9393</v>
      </c>
      <c r="BN10" s="117">
        <v>4713</v>
      </c>
      <c r="BO10" s="117">
        <v>5745</v>
      </c>
      <c r="BP10" s="136"/>
      <c r="BR10" s="160">
        <v>-6</v>
      </c>
      <c r="BS10" s="160">
        <v>94</v>
      </c>
      <c r="BT10" s="161">
        <v>1153</v>
      </c>
      <c r="BU10" s="125">
        <v>877</v>
      </c>
      <c r="BV10" s="160">
        <v>0</v>
      </c>
      <c r="BX10" s="161">
        <v>276</v>
      </c>
      <c r="BY10" s="160">
        <v>0</v>
      </c>
      <c r="BZ10" s="160">
        <v>0</v>
      </c>
      <c r="CA10" s="161">
        <v>0</v>
      </c>
      <c r="CB10" s="161">
        <v>-4</v>
      </c>
      <c r="CC10" s="160">
        <v>272</v>
      </c>
      <c r="CD10" s="160">
        <v>6931</v>
      </c>
      <c r="CE10" s="116">
        <v>1104</v>
      </c>
      <c r="CF10" s="150"/>
      <c r="CG10" s="160">
        <v>328</v>
      </c>
      <c r="CH10" s="160">
        <v>-63</v>
      </c>
      <c r="CI10" s="159">
        <v>438</v>
      </c>
      <c r="CK10" s="124"/>
      <c r="CL10" s="161"/>
      <c r="CM10" s="124"/>
      <c r="CN10" s="265">
        <v>21</v>
      </c>
      <c r="CO10" s="130"/>
      <c r="CP10" s="116">
        <v>33</v>
      </c>
      <c r="CQ10" s="267">
        <v>1369</v>
      </c>
      <c r="CR10" s="124"/>
      <c r="CS10" s="268">
        <v>191.8</v>
      </c>
      <c r="CT10" s="269">
        <v>17.468672846694925</v>
      </c>
      <c r="CU10" s="160">
        <v>1962.7465303140978</v>
      </c>
      <c r="CV10" s="130"/>
      <c r="CW10" s="130"/>
      <c r="CX10" s="130"/>
      <c r="CY10" s="269">
        <v>75.682094653304759</v>
      </c>
      <c r="CZ10" s="125">
        <v>3822.4981738495253</v>
      </c>
      <c r="DA10" s="125">
        <v>93.382467976923834</v>
      </c>
      <c r="DB10" s="273">
        <v>14940.832724616508</v>
      </c>
      <c r="DC10" s="124"/>
      <c r="DD10" s="117">
        <v>10495</v>
      </c>
      <c r="DE10" s="117">
        <v>19664</v>
      </c>
      <c r="DF10" s="117">
        <v>0</v>
      </c>
      <c r="DG10" s="117">
        <v>-9169</v>
      </c>
      <c r="DH10" s="117">
        <v>4642</v>
      </c>
      <c r="DI10" s="117">
        <v>6330</v>
      </c>
      <c r="DJ10" s="136"/>
      <c r="DL10" s="160">
        <v>-9</v>
      </c>
      <c r="DM10" s="160">
        <v>115</v>
      </c>
      <c r="DN10" s="161">
        <v>1909</v>
      </c>
      <c r="DO10" s="116">
        <v>792</v>
      </c>
      <c r="DP10" s="160">
        <v>6</v>
      </c>
      <c r="DR10" s="161">
        <v>1123</v>
      </c>
      <c r="DS10" s="116">
        <v>0</v>
      </c>
      <c r="DT10" s="116">
        <v>0</v>
      </c>
      <c r="DU10" s="117">
        <v>0</v>
      </c>
      <c r="DV10" s="117">
        <v>3</v>
      </c>
      <c r="DW10" s="160">
        <v>1126</v>
      </c>
      <c r="DX10" s="160">
        <v>8046</v>
      </c>
      <c r="DY10" s="116">
        <v>1830</v>
      </c>
      <c r="DZ10" s="150"/>
      <c r="EA10" s="116">
        <v>22</v>
      </c>
      <c r="EB10" s="116">
        <v>-1</v>
      </c>
      <c r="EC10" s="159">
        <v>1194</v>
      </c>
      <c r="EE10" s="125"/>
      <c r="EF10" s="161"/>
      <c r="EG10" s="124"/>
      <c r="EH10" s="253">
        <v>21</v>
      </c>
      <c r="EI10" s="130"/>
      <c r="EJ10" s="125">
        <v>36</v>
      </c>
      <c r="EK10" s="116"/>
      <c r="EL10" s="159"/>
      <c r="EN10" s="116"/>
      <c r="EO10" s="116"/>
      <c r="EP10" s="159"/>
      <c r="EQ10" s="159">
        <v>-907</v>
      </c>
      <c r="ER10" s="116">
        <v>94</v>
      </c>
      <c r="ES10" s="116">
        <v>11</v>
      </c>
      <c r="ET10" s="160">
        <v>-702</v>
      </c>
      <c r="EU10" s="116">
        <v>12</v>
      </c>
      <c r="EV10" s="116">
        <v>24</v>
      </c>
      <c r="EW10" s="160">
        <v>-771</v>
      </c>
      <c r="EX10" s="160">
        <v>1</v>
      </c>
      <c r="EY10" s="160">
        <v>134</v>
      </c>
      <c r="EZ10" s="116">
        <v>9</v>
      </c>
      <c r="FA10" s="116">
        <v>52</v>
      </c>
      <c r="FB10" s="116">
        <v>16</v>
      </c>
      <c r="FC10" s="160">
        <v>-231</v>
      </c>
      <c r="FD10" s="116">
        <v>387</v>
      </c>
      <c r="FE10" s="116">
        <v>-63</v>
      </c>
      <c r="FF10" s="3">
        <v>1082</v>
      </c>
      <c r="FG10" s="3">
        <v>787</v>
      </c>
      <c r="FH10" s="3">
        <v>295</v>
      </c>
      <c r="FI10" s="3">
        <v>0</v>
      </c>
      <c r="FJ10" s="125">
        <v>804</v>
      </c>
      <c r="FK10" s="160">
        <v>648</v>
      </c>
      <c r="FL10" s="125">
        <v>156</v>
      </c>
      <c r="FM10" s="116">
        <v>0</v>
      </c>
      <c r="FN10" s="125">
        <v>1129</v>
      </c>
      <c r="FO10" s="116">
        <v>880</v>
      </c>
      <c r="FP10" s="116">
        <v>249</v>
      </c>
      <c r="FQ10" s="116">
        <v>22</v>
      </c>
      <c r="FR10" s="153">
        <v>108</v>
      </c>
      <c r="FS10" s="153">
        <v>108</v>
      </c>
      <c r="FT10" s="276">
        <v>108</v>
      </c>
      <c r="FU10" s="3">
        <v>449</v>
      </c>
      <c r="FV10" s="159">
        <v>415</v>
      </c>
      <c r="FW10" s="170"/>
      <c r="FZ10" s="155"/>
      <c r="GA10" s="2"/>
      <c r="GD10" s="163"/>
      <c r="GE10" s="2"/>
      <c r="GF10" s="2"/>
    </row>
    <row r="11" spans="1:188" ht="14.5" x14ac:dyDescent="0.35">
      <c r="A11" s="72">
        <v>47</v>
      </c>
      <c r="B11" s="70" t="s">
        <v>9</v>
      </c>
      <c r="C11" s="158">
        <v>1852</v>
      </c>
      <c r="D11" s="171"/>
      <c r="E11" s="128">
        <v>1.4804177545691906</v>
      </c>
      <c r="F11" s="128">
        <v>65.110792821636196</v>
      </c>
      <c r="G11" s="129">
        <v>-6109.6112311015122</v>
      </c>
      <c r="H11" s="216"/>
      <c r="I11" s="172"/>
      <c r="J11" s="218"/>
      <c r="K11" s="128">
        <v>38.778688220681474</v>
      </c>
      <c r="L11" s="129">
        <v>1225.7019438444925</v>
      </c>
      <c r="M11" s="129">
        <v>33.211079044412379</v>
      </c>
      <c r="N11" s="129">
        <v>13470.842332613391</v>
      </c>
      <c r="O11" s="129"/>
      <c r="P11" s="117">
        <v>8772</v>
      </c>
      <c r="Q11" s="161">
        <v>22485</v>
      </c>
      <c r="R11" s="161">
        <v>-11</v>
      </c>
      <c r="S11" s="161">
        <v>-13724</v>
      </c>
      <c r="T11" s="124">
        <v>6362</v>
      </c>
      <c r="U11" s="124">
        <v>8604</v>
      </c>
      <c r="V11" s="136"/>
      <c r="X11" s="116">
        <v>-121</v>
      </c>
      <c r="Y11" s="116">
        <v>443</v>
      </c>
      <c r="Z11" s="161">
        <v>1564</v>
      </c>
      <c r="AA11" s="116">
        <v>1111</v>
      </c>
      <c r="AB11" s="116">
        <v>0</v>
      </c>
      <c r="AD11" s="161">
        <v>453</v>
      </c>
      <c r="AE11" s="116">
        <v>0</v>
      </c>
      <c r="AF11" s="116">
        <v>10</v>
      </c>
      <c r="AG11" s="116">
        <v>-23</v>
      </c>
      <c r="AH11" s="116">
        <v>-1</v>
      </c>
      <c r="AI11" s="160">
        <v>439</v>
      </c>
      <c r="AJ11" s="161">
        <v>1933</v>
      </c>
      <c r="AK11" s="161">
        <v>1596</v>
      </c>
      <c r="AL11" s="150"/>
      <c r="AM11" s="161">
        <v>723</v>
      </c>
      <c r="AN11" s="161">
        <v>-1012</v>
      </c>
      <c r="AO11" s="160">
        <v>852</v>
      </c>
      <c r="AQ11" s="160"/>
      <c r="AR11" s="117"/>
      <c r="AS11" s="117"/>
      <c r="AT11" s="99">
        <v>21.25</v>
      </c>
      <c r="AU11" s="130"/>
      <c r="AV11" s="262">
        <v>41</v>
      </c>
      <c r="AW11" s="267">
        <v>1838</v>
      </c>
      <c r="AX11" s="124"/>
      <c r="AY11" s="255">
        <v>1.1656746031746033</v>
      </c>
      <c r="AZ11" s="259">
        <v>64.784320365745245</v>
      </c>
      <c r="BA11" s="160">
        <v>-6209.4668117519041</v>
      </c>
      <c r="BB11" s="130"/>
      <c r="BC11" s="130"/>
      <c r="BD11" s="130"/>
      <c r="BE11" s="128">
        <v>39.994780209537304</v>
      </c>
      <c r="BF11" s="160">
        <v>1076.1697497279652</v>
      </c>
      <c r="BG11" s="129">
        <v>31.210682939691871</v>
      </c>
      <c r="BH11" s="131">
        <v>14443.416757344939</v>
      </c>
      <c r="BI11" s="124"/>
      <c r="BJ11" s="117">
        <v>8571</v>
      </c>
      <c r="BK11" s="117">
        <v>22860</v>
      </c>
      <c r="BL11" s="161">
        <v>-7</v>
      </c>
      <c r="BM11" s="161">
        <v>-14296</v>
      </c>
      <c r="BN11" s="117">
        <v>6263</v>
      </c>
      <c r="BO11" s="117">
        <v>8789</v>
      </c>
      <c r="BP11" s="136"/>
      <c r="BR11" s="160">
        <v>-77</v>
      </c>
      <c r="BS11" s="160">
        <v>401</v>
      </c>
      <c r="BT11" s="161">
        <v>1080</v>
      </c>
      <c r="BU11" s="125">
        <v>1024</v>
      </c>
      <c r="BV11" s="160">
        <v>0</v>
      </c>
      <c r="BX11" s="161">
        <v>56</v>
      </c>
      <c r="BY11" s="160">
        <v>0</v>
      </c>
      <c r="BZ11" s="160">
        <v>1</v>
      </c>
      <c r="CA11" s="160">
        <v>30</v>
      </c>
      <c r="CB11" s="160">
        <v>-4</v>
      </c>
      <c r="CC11" s="160">
        <v>23</v>
      </c>
      <c r="CD11" s="160">
        <v>2110</v>
      </c>
      <c r="CE11" s="116">
        <v>1087</v>
      </c>
      <c r="CF11" s="150"/>
      <c r="CG11" s="161">
        <v>231</v>
      </c>
      <c r="CH11" s="160">
        <v>-913</v>
      </c>
      <c r="CI11" s="159">
        <v>-584</v>
      </c>
      <c r="CK11" s="124"/>
      <c r="CL11" s="161"/>
      <c r="CM11" s="124"/>
      <c r="CN11" s="265">
        <v>21.25</v>
      </c>
      <c r="CO11" s="130"/>
      <c r="CP11" s="116">
        <v>91</v>
      </c>
      <c r="CQ11" s="267">
        <v>1808</v>
      </c>
      <c r="CR11" s="124"/>
      <c r="CS11" s="268">
        <v>1.993677555321391</v>
      </c>
      <c r="CT11" s="269">
        <v>66.668021459925214</v>
      </c>
      <c r="CU11" s="160">
        <v>-6824.1150442477874</v>
      </c>
      <c r="CV11" s="130"/>
      <c r="CW11" s="130"/>
      <c r="CX11" s="130"/>
      <c r="CY11" s="269">
        <v>39.889924980719343</v>
      </c>
      <c r="CZ11" s="125">
        <v>1245.0221238938052</v>
      </c>
      <c r="DA11" s="125">
        <v>30.227548655310699</v>
      </c>
      <c r="DB11" s="273">
        <v>15033.738938053099</v>
      </c>
      <c r="DC11" s="124"/>
      <c r="DD11" s="117">
        <v>8457</v>
      </c>
      <c r="DE11" s="117">
        <v>22984</v>
      </c>
      <c r="DF11" s="117">
        <v>-10</v>
      </c>
      <c r="DG11" s="117">
        <v>-14537</v>
      </c>
      <c r="DH11" s="117">
        <v>6394</v>
      </c>
      <c r="DI11" s="117">
        <v>9753</v>
      </c>
      <c r="DJ11" s="136"/>
      <c r="DL11" s="160">
        <v>-50</v>
      </c>
      <c r="DM11" s="160">
        <v>271</v>
      </c>
      <c r="DN11" s="161">
        <v>1831</v>
      </c>
      <c r="DO11" s="116">
        <v>1189</v>
      </c>
      <c r="DP11" s="160">
        <v>-1</v>
      </c>
      <c r="DR11" s="161">
        <v>641</v>
      </c>
      <c r="DS11" s="116">
        <v>0</v>
      </c>
      <c r="DT11" s="116">
        <v>0</v>
      </c>
      <c r="DU11" s="116">
        <v>-11</v>
      </c>
      <c r="DV11" s="116">
        <v>5</v>
      </c>
      <c r="DW11" s="160">
        <v>657</v>
      </c>
      <c r="DX11" s="160">
        <v>2797</v>
      </c>
      <c r="DY11" s="116">
        <v>1670</v>
      </c>
      <c r="DZ11" s="150"/>
      <c r="EA11" s="117">
        <v>503</v>
      </c>
      <c r="EB11" s="116">
        <v>-888</v>
      </c>
      <c r="EC11" s="159">
        <v>-994</v>
      </c>
      <c r="EE11" s="125"/>
      <c r="EF11" s="161"/>
      <c r="EG11" s="124"/>
      <c r="EH11" s="253">
        <v>21.25</v>
      </c>
      <c r="EI11" s="130"/>
      <c r="EJ11" s="125">
        <v>128</v>
      </c>
      <c r="EK11" s="116"/>
      <c r="EL11" s="159"/>
      <c r="EN11" s="116"/>
      <c r="EO11" s="116"/>
      <c r="EP11" s="159"/>
      <c r="EQ11" s="159">
        <v>-1018</v>
      </c>
      <c r="ER11" s="116">
        <v>87</v>
      </c>
      <c r="ES11" s="116">
        <v>187</v>
      </c>
      <c r="ET11" s="160">
        <v>-2409</v>
      </c>
      <c r="EU11" s="116">
        <v>492</v>
      </c>
      <c r="EV11" s="116">
        <v>246</v>
      </c>
      <c r="EW11" s="160">
        <v>-2941</v>
      </c>
      <c r="EX11" s="160">
        <v>132</v>
      </c>
      <c r="EY11" s="160">
        <v>145</v>
      </c>
      <c r="EZ11" s="116">
        <v>0</v>
      </c>
      <c r="FA11" s="116">
        <v>48</v>
      </c>
      <c r="FB11" s="116">
        <v>261</v>
      </c>
      <c r="FC11" s="160">
        <v>787</v>
      </c>
      <c r="FD11" s="116">
        <v>499</v>
      </c>
      <c r="FE11" s="116">
        <v>1440</v>
      </c>
      <c r="FF11" s="3">
        <v>9399</v>
      </c>
      <c r="FG11" s="3">
        <v>7721</v>
      </c>
      <c r="FH11" s="3">
        <v>1678</v>
      </c>
      <c r="FI11" s="3">
        <v>136</v>
      </c>
      <c r="FJ11" s="125">
        <v>9071</v>
      </c>
      <c r="FK11" s="160">
        <v>6633</v>
      </c>
      <c r="FL11" s="125">
        <v>2438</v>
      </c>
      <c r="FM11" s="116">
        <v>35</v>
      </c>
      <c r="FN11" s="125">
        <v>10084</v>
      </c>
      <c r="FO11" s="116">
        <v>6210</v>
      </c>
      <c r="FP11" s="116">
        <v>3874</v>
      </c>
      <c r="FQ11" s="116">
        <v>503</v>
      </c>
      <c r="FR11" s="153">
        <v>1161</v>
      </c>
      <c r="FS11" s="153">
        <v>324</v>
      </c>
      <c r="FT11" s="276">
        <v>312</v>
      </c>
      <c r="FU11" s="3">
        <v>323</v>
      </c>
      <c r="FV11" s="159">
        <v>290</v>
      </c>
      <c r="FW11" s="170"/>
      <c r="FZ11" s="155"/>
      <c r="GA11" s="2"/>
      <c r="GD11" s="163"/>
      <c r="GE11" s="2"/>
      <c r="GF11" s="2"/>
    </row>
    <row r="12" spans="1:188" ht="14.5" x14ac:dyDescent="0.35">
      <c r="A12" s="72">
        <v>49</v>
      </c>
      <c r="B12" s="70" t="s">
        <v>10</v>
      </c>
      <c r="C12" s="158">
        <v>283632</v>
      </c>
      <c r="D12" s="171"/>
      <c r="E12" s="128">
        <v>1.7712961263080595</v>
      </c>
      <c r="F12" s="128">
        <v>143.48878060487368</v>
      </c>
      <c r="G12" s="129">
        <v>-9498.6849156653698</v>
      </c>
      <c r="H12" s="216"/>
      <c r="I12" s="172"/>
      <c r="J12" s="218"/>
      <c r="K12" s="128">
        <v>40.414220850683257</v>
      </c>
      <c r="L12" s="129">
        <v>3541.0320415185874</v>
      </c>
      <c r="M12" s="129">
        <v>118.50017277812024</v>
      </c>
      <c r="N12" s="129">
        <v>10906.960427596323</v>
      </c>
      <c r="O12" s="129"/>
      <c r="P12" s="117">
        <v>1102801</v>
      </c>
      <c r="Q12" s="161">
        <v>2383893</v>
      </c>
      <c r="R12" s="161">
        <v>-1616</v>
      </c>
      <c r="S12" s="161">
        <v>-1282708</v>
      </c>
      <c r="T12" s="124">
        <v>1501986</v>
      </c>
      <c r="U12" s="124">
        <v>95314</v>
      </c>
      <c r="V12" s="136"/>
      <c r="X12" s="116">
        <v>-35590</v>
      </c>
      <c r="Y12" s="116">
        <v>20923</v>
      </c>
      <c r="Z12" s="161">
        <v>299925</v>
      </c>
      <c r="AA12" s="116">
        <v>306013</v>
      </c>
      <c r="AB12" s="116">
        <v>0</v>
      </c>
      <c r="AD12" s="161">
        <v>-6088</v>
      </c>
      <c r="AE12" s="117">
        <v>3973</v>
      </c>
      <c r="AF12" s="117">
        <v>12237</v>
      </c>
      <c r="AG12" s="116">
        <v>-622</v>
      </c>
      <c r="AH12" s="117">
        <v>2802</v>
      </c>
      <c r="AI12" s="160">
        <v>12302</v>
      </c>
      <c r="AJ12" s="161">
        <v>604643</v>
      </c>
      <c r="AK12" s="161">
        <v>229225</v>
      </c>
      <c r="AL12" s="150"/>
      <c r="AM12" s="161">
        <v>-1956</v>
      </c>
      <c r="AN12" s="161">
        <v>-148680</v>
      </c>
      <c r="AO12" s="160">
        <v>-151086</v>
      </c>
      <c r="AQ12" s="160"/>
      <c r="AR12" s="117"/>
      <c r="AS12" s="117"/>
      <c r="AT12" s="99">
        <v>18</v>
      </c>
      <c r="AU12" s="130"/>
      <c r="AV12" s="262">
        <v>19</v>
      </c>
      <c r="AW12" s="267">
        <v>289731</v>
      </c>
      <c r="AX12" s="124"/>
      <c r="AY12" s="255">
        <v>1.632158999442759</v>
      </c>
      <c r="AZ12" s="259">
        <v>149.83547467507452</v>
      </c>
      <c r="BA12" s="160">
        <v>-10314.115507142831</v>
      </c>
      <c r="BB12" s="130"/>
      <c r="BC12" s="130"/>
      <c r="BD12" s="130"/>
      <c r="BE12" s="128">
        <v>38.123464684348875</v>
      </c>
      <c r="BF12" s="160">
        <v>3381.260548577819</v>
      </c>
      <c r="BG12" s="129">
        <v>107.7189557905575</v>
      </c>
      <c r="BH12" s="131">
        <v>11746.0230351602</v>
      </c>
      <c r="BI12" s="124"/>
      <c r="BJ12" s="117">
        <v>1171298</v>
      </c>
      <c r="BK12" s="117">
        <v>2544378</v>
      </c>
      <c r="BL12" s="161">
        <v>-1283</v>
      </c>
      <c r="BM12" s="161">
        <v>-1374363</v>
      </c>
      <c r="BN12" s="117">
        <v>1521184</v>
      </c>
      <c r="BO12" s="117">
        <v>113469</v>
      </c>
      <c r="BP12" s="136"/>
      <c r="BR12" s="160">
        <v>-34689</v>
      </c>
      <c r="BS12" s="160">
        <v>44470</v>
      </c>
      <c r="BT12" s="161">
        <v>270071</v>
      </c>
      <c r="BU12" s="125">
        <v>323458</v>
      </c>
      <c r="BV12" s="160">
        <v>0</v>
      </c>
      <c r="BW12" s="117"/>
      <c r="BX12" s="161">
        <v>-53387</v>
      </c>
      <c r="BY12" s="161">
        <v>3766</v>
      </c>
      <c r="BZ12" s="161">
        <v>15025</v>
      </c>
      <c r="CA12" s="161">
        <v>603</v>
      </c>
      <c r="CB12" s="161">
        <v>2899</v>
      </c>
      <c r="CC12" s="160">
        <v>-32300</v>
      </c>
      <c r="CD12" s="160">
        <v>551120</v>
      </c>
      <c r="CE12" s="116">
        <v>183927</v>
      </c>
      <c r="CF12" s="150"/>
      <c r="CG12" s="160">
        <v>-59706</v>
      </c>
      <c r="CH12" s="160">
        <v>-147551</v>
      </c>
      <c r="CI12" s="159">
        <v>-324600</v>
      </c>
      <c r="CK12" s="124"/>
      <c r="CL12" s="161"/>
      <c r="CM12" s="124"/>
      <c r="CN12" s="265">
        <v>18</v>
      </c>
      <c r="CO12" s="130"/>
      <c r="CP12" s="116">
        <v>25</v>
      </c>
      <c r="CQ12" s="267">
        <v>292796</v>
      </c>
      <c r="CR12" s="124"/>
      <c r="CS12" s="268">
        <v>2.1386206623251391</v>
      </c>
      <c r="CT12" s="269">
        <v>155.5888243504856</v>
      </c>
      <c r="CU12" s="160">
        <v>-10999.419390975287</v>
      </c>
      <c r="CV12" s="130"/>
      <c r="CW12" s="130"/>
      <c r="CX12" s="130"/>
      <c r="CY12" s="269">
        <v>36.185730725953562</v>
      </c>
      <c r="CZ12" s="125">
        <v>4266.0794546373581</v>
      </c>
      <c r="DA12" s="125">
        <v>125.76346462157716</v>
      </c>
      <c r="DB12" s="273">
        <v>12381.33034604298</v>
      </c>
      <c r="DC12" s="124"/>
      <c r="DD12" s="117">
        <v>1178888</v>
      </c>
      <c r="DE12" s="117">
        <v>2601118</v>
      </c>
      <c r="DF12" s="117">
        <v>1586</v>
      </c>
      <c r="DG12" s="117">
        <v>-1420644</v>
      </c>
      <c r="DH12" s="117">
        <v>1605340</v>
      </c>
      <c r="DI12" s="117">
        <v>267013</v>
      </c>
      <c r="DJ12" s="136"/>
      <c r="DL12" s="160">
        <v>-39454</v>
      </c>
      <c r="DM12" s="160">
        <v>22485</v>
      </c>
      <c r="DN12" s="161">
        <v>434740</v>
      </c>
      <c r="DO12" s="116">
        <v>330694</v>
      </c>
      <c r="DP12" s="160">
        <v>0</v>
      </c>
      <c r="DQ12" s="117"/>
      <c r="DR12" s="161">
        <v>104046</v>
      </c>
      <c r="DS12" s="117">
        <v>4334</v>
      </c>
      <c r="DT12" s="117">
        <v>15019</v>
      </c>
      <c r="DU12" s="117">
        <v>837</v>
      </c>
      <c r="DV12" s="117">
        <v>618</v>
      </c>
      <c r="DW12" s="160">
        <v>123180</v>
      </c>
      <c r="DX12" s="160">
        <v>665687</v>
      </c>
      <c r="DY12" s="116">
        <v>354934</v>
      </c>
      <c r="DZ12" s="150"/>
      <c r="EA12" s="116">
        <v>-40753</v>
      </c>
      <c r="EB12" s="116">
        <v>-176149</v>
      </c>
      <c r="EC12" s="159">
        <v>-253438</v>
      </c>
      <c r="EE12" s="125"/>
      <c r="EF12" s="161"/>
      <c r="EG12" s="124"/>
      <c r="EH12" s="253">
        <v>18</v>
      </c>
      <c r="EI12" s="130"/>
      <c r="EJ12" s="125">
        <v>25</v>
      </c>
      <c r="EK12" s="116"/>
      <c r="EL12" s="159"/>
      <c r="EN12" s="116"/>
      <c r="EO12" s="116"/>
      <c r="EP12" s="159"/>
      <c r="EQ12" s="159">
        <v>-495489</v>
      </c>
      <c r="ER12" s="116">
        <v>36891</v>
      </c>
      <c r="ES12" s="116">
        <v>78287</v>
      </c>
      <c r="ET12" s="160">
        <v>-661148</v>
      </c>
      <c r="EU12" s="116">
        <v>58030</v>
      </c>
      <c r="EV12" s="116">
        <v>94591</v>
      </c>
      <c r="EW12" s="160">
        <v>-784640</v>
      </c>
      <c r="EX12" s="160">
        <v>84956</v>
      </c>
      <c r="EY12" s="160">
        <v>91312</v>
      </c>
      <c r="EZ12" s="116">
        <v>219699</v>
      </c>
      <c r="FA12" s="116">
        <v>1933</v>
      </c>
      <c r="FB12" s="116">
        <v>449241</v>
      </c>
      <c r="FC12" s="160">
        <v>-1583</v>
      </c>
      <c r="FD12" s="116">
        <v>666902</v>
      </c>
      <c r="FE12" s="116">
        <v>-4877</v>
      </c>
      <c r="FF12" s="3">
        <v>3502631</v>
      </c>
      <c r="FG12" s="3">
        <v>3329807</v>
      </c>
      <c r="FH12" s="3">
        <v>172824</v>
      </c>
      <c r="FI12" s="3">
        <v>208048</v>
      </c>
      <c r="FJ12" s="125">
        <v>3802739</v>
      </c>
      <c r="FK12" s="160">
        <v>3607234</v>
      </c>
      <c r="FL12" s="125">
        <v>195505</v>
      </c>
      <c r="FM12" s="116">
        <v>205140</v>
      </c>
      <c r="FN12" s="125">
        <v>4285902</v>
      </c>
      <c r="FO12" s="116">
        <v>4076880</v>
      </c>
      <c r="FP12" s="116">
        <v>209022</v>
      </c>
      <c r="FQ12" s="116">
        <v>-40753</v>
      </c>
      <c r="FR12" s="153">
        <v>92306</v>
      </c>
      <c r="FS12" s="153">
        <v>94817</v>
      </c>
      <c r="FT12" s="276">
        <v>96757</v>
      </c>
      <c r="FU12" s="3">
        <v>602654</v>
      </c>
      <c r="FV12" s="159">
        <v>845683</v>
      </c>
      <c r="FW12" s="170"/>
      <c r="FZ12" s="155"/>
      <c r="GA12" s="2"/>
      <c r="GD12" s="163"/>
      <c r="GE12" s="2"/>
      <c r="GF12" s="2"/>
    </row>
    <row r="13" spans="1:188" ht="14.5" x14ac:dyDescent="0.35">
      <c r="A13" s="72">
        <v>50</v>
      </c>
      <c r="B13" s="70" t="s">
        <v>11</v>
      </c>
      <c r="C13" s="158">
        <v>11748</v>
      </c>
      <c r="D13" s="171"/>
      <c r="E13" s="128">
        <v>0.47165354330708659</v>
      </c>
      <c r="F13" s="128">
        <v>70.15753209251794</v>
      </c>
      <c r="G13" s="129">
        <v>-5271.7909431392573</v>
      </c>
      <c r="H13" s="216"/>
      <c r="I13" s="172"/>
      <c r="J13" s="218"/>
      <c r="K13" s="128">
        <v>31.1763410067188</v>
      </c>
      <c r="L13" s="129">
        <v>486.38066053796393</v>
      </c>
      <c r="M13" s="129">
        <v>18.378980947848923</v>
      </c>
      <c r="N13" s="129">
        <v>9659.346271705821</v>
      </c>
      <c r="O13" s="129"/>
      <c r="P13" s="117">
        <v>36008</v>
      </c>
      <c r="Q13" s="161">
        <v>103147</v>
      </c>
      <c r="R13" s="161">
        <v>0</v>
      </c>
      <c r="S13" s="161">
        <v>-67139</v>
      </c>
      <c r="T13" s="124">
        <v>43565</v>
      </c>
      <c r="U13" s="124">
        <v>25358</v>
      </c>
      <c r="V13" s="136"/>
      <c r="X13" s="116">
        <v>-377</v>
      </c>
      <c r="Y13" s="116">
        <v>9</v>
      </c>
      <c r="Z13" s="161">
        <v>1416</v>
      </c>
      <c r="AA13" s="116">
        <v>5804</v>
      </c>
      <c r="AB13" s="116">
        <v>0</v>
      </c>
      <c r="AD13" s="161">
        <v>-4388</v>
      </c>
      <c r="AE13" s="116">
        <v>36</v>
      </c>
      <c r="AF13" s="116">
        <v>0</v>
      </c>
      <c r="AG13" s="116">
        <v>0</v>
      </c>
      <c r="AH13" s="116">
        <v>38</v>
      </c>
      <c r="AI13" s="160">
        <v>-4314</v>
      </c>
      <c r="AJ13" s="161">
        <v>1114</v>
      </c>
      <c r="AK13" s="161">
        <v>1138</v>
      </c>
      <c r="AL13" s="150"/>
      <c r="AM13" s="161">
        <v>877</v>
      </c>
      <c r="AN13" s="161">
        <v>-3429</v>
      </c>
      <c r="AO13" s="160">
        <v>-4519</v>
      </c>
      <c r="AQ13" s="160"/>
      <c r="AR13" s="117"/>
      <c r="AS13" s="117"/>
      <c r="AT13" s="99">
        <v>20.5</v>
      </c>
      <c r="AU13" s="130"/>
      <c r="AV13" s="262">
        <v>272</v>
      </c>
      <c r="AW13" s="267">
        <v>11632</v>
      </c>
      <c r="AX13" s="124"/>
      <c r="AY13" s="255">
        <v>0.55009052504526257</v>
      </c>
      <c r="AZ13" s="259">
        <v>76.194462209849135</v>
      </c>
      <c r="BA13" s="160">
        <v>-6003.610729023384</v>
      </c>
      <c r="BB13" s="130"/>
      <c r="BC13" s="130"/>
      <c r="BD13" s="130"/>
      <c r="BE13" s="128">
        <v>26.790557778553588</v>
      </c>
      <c r="BF13" s="160">
        <v>429.16093535075657</v>
      </c>
      <c r="BG13" s="129">
        <v>17.723927527364197</v>
      </c>
      <c r="BH13" s="131">
        <v>10116.231086657497</v>
      </c>
      <c r="BI13" s="124"/>
      <c r="BJ13" s="117">
        <v>36328</v>
      </c>
      <c r="BK13" s="117">
        <v>104526</v>
      </c>
      <c r="BL13" s="161">
        <v>0</v>
      </c>
      <c r="BM13" s="161">
        <v>-68198</v>
      </c>
      <c r="BN13" s="117">
        <v>43287</v>
      </c>
      <c r="BO13" s="117">
        <v>26709</v>
      </c>
      <c r="BP13" s="136"/>
      <c r="BR13" s="160">
        <v>-340</v>
      </c>
      <c r="BS13" s="160">
        <v>22</v>
      </c>
      <c r="BT13" s="161">
        <v>1480</v>
      </c>
      <c r="BU13" s="125">
        <v>6065</v>
      </c>
      <c r="BV13" s="160">
        <v>3</v>
      </c>
      <c r="BX13" s="161">
        <v>-4582</v>
      </c>
      <c r="BY13" s="160">
        <v>10</v>
      </c>
      <c r="BZ13" s="160">
        <v>0</v>
      </c>
      <c r="CA13" s="160">
        <v>2</v>
      </c>
      <c r="CB13" s="160">
        <v>26</v>
      </c>
      <c r="CC13" s="160">
        <v>-4548</v>
      </c>
      <c r="CD13" s="160">
        <v>-3389</v>
      </c>
      <c r="CE13" s="116">
        <v>1283</v>
      </c>
      <c r="CF13" s="150"/>
      <c r="CG13" s="161">
        <v>-216</v>
      </c>
      <c r="CH13" s="160">
        <v>-2971</v>
      </c>
      <c r="CI13" s="159">
        <v>-8008</v>
      </c>
      <c r="CK13" s="124"/>
      <c r="CL13" s="161"/>
      <c r="CM13" s="124"/>
      <c r="CN13" s="265">
        <v>20.5</v>
      </c>
      <c r="CO13" s="130"/>
      <c r="CP13" s="116">
        <v>253</v>
      </c>
      <c r="CQ13" s="267">
        <v>11483</v>
      </c>
      <c r="CR13" s="124"/>
      <c r="CS13" s="268">
        <v>3.2378612716763007</v>
      </c>
      <c r="CT13" s="269">
        <v>68.361912411818125</v>
      </c>
      <c r="CU13" s="160">
        <v>-5715.5795523817824</v>
      </c>
      <c r="CV13" s="130"/>
      <c r="CW13" s="130"/>
      <c r="CX13" s="130"/>
      <c r="CY13" s="269">
        <v>30.047857894783402</v>
      </c>
      <c r="CZ13" s="125">
        <v>538.09979970391009</v>
      </c>
      <c r="DA13" s="125">
        <v>19.764742483064438</v>
      </c>
      <c r="DB13" s="273">
        <v>9937.2115300879559</v>
      </c>
      <c r="DC13" s="124"/>
      <c r="DD13" s="117">
        <v>37130</v>
      </c>
      <c r="DE13" s="117">
        <v>103474</v>
      </c>
      <c r="DF13" s="117">
        <v>0</v>
      </c>
      <c r="DG13" s="117">
        <v>-66344</v>
      </c>
      <c r="DH13" s="117">
        <v>45835</v>
      </c>
      <c r="DI13" s="117">
        <v>31571</v>
      </c>
      <c r="DJ13" s="136"/>
      <c r="DL13" s="160">
        <v>-409</v>
      </c>
      <c r="DM13" s="160">
        <v>137</v>
      </c>
      <c r="DN13" s="161">
        <v>10790</v>
      </c>
      <c r="DO13" s="116">
        <v>6675</v>
      </c>
      <c r="DP13" s="160">
        <v>0</v>
      </c>
      <c r="DR13" s="161">
        <v>4115</v>
      </c>
      <c r="DS13" s="116">
        <v>16</v>
      </c>
      <c r="DT13" s="116">
        <v>0</v>
      </c>
      <c r="DU13" s="116">
        <v>2</v>
      </c>
      <c r="DV13" s="116">
        <v>-20</v>
      </c>
      <c r="DW13" s="160">
        <v>4109</v>
      </c>
      <c r="DX13" s="160">
        <v>683</v>
      </c>
      <c r="DY13" s="116">
        <v>10771</v>
      </c>
      <c r="DZ13" s="150"/>
      <c r="EA13" s="117">
        <v>-302</v>
      </c>
      <c r="EB13" s="116">
        <v>-3047</v>
      </c>
      <c r="EC13" s="159">
        <v>4338</v>
      </c>
      <c r="EE13" s="125"/>
      <c r="EF13" s="161"/>
      <c r="EG13" s="124"/>
      <c r="EH13" s="253">
        <v>21</v>
      </c>
      <c r="EI13" s="130"/>
      <c r="EJ13" s="125">
        <v>159</v>
      </c>
      <c r="EK13" s="116"/>
      <c r="EL13" s="159"/>
      <c r="EN13" s="116"/>
      <c r="EO13" s="116"/>
      <c r="EP13" s="159"/>
      <c r="EQ13" s="159">
        <v>-6341</v>
      </c>
      <c r="ER13" s="116">
        <v>81</v>
      </c>
      <c r="ES13" s="116">
        <v>603</v>
      </c>
      <c r="ET13" s="160">
        <v>-9684</v>
      </c>
      <c r="EU13" s="116">
        <v>41</v>
      </c>
      <c r="EV13" s="116">
        <v>352</v>
      </c>
      <c r="EW13" s="160">
        <v>-7143</v>
      </c>
      <c r="EX13" s="160">
        <v>47</v>
      </c>
      <c r="EY13" s="160">
        <v>663</v>
      </c>
      <c r="EZ13" s="116">
        <v>933</v>
      </c>
      <c r="FA13" s="116">
        <v>4000</v>
      </c>
      <c r="FB13" s="116">
        <v>5648</v>
      </c>
      <c r="FC13" s="160">
        <v>6000</v>
      </c>
      <c r="FD13" s="116">
        <v>544</v>
      </c>
      <c r="FE13" s="116">
        <v>-188</v>
      </c>
      <c r="FF13" s="3">
        <v>54266</v>
      </c>
      <c r="FG13" s="3">
        <v>33394</v>
      </c>
      <c r="FH13" s="3">
        <v>20872</v>
      </c>
      <c r="FI13" s="3">
        <v>50</v>
      </c>
      <c r="FJ13" s="125">
        <v>63193</v>
      </c>
      <c r="FK13" s="160">
        <v>36129</v>
      </c>
      <c r="FL13" s="125">
        <v>27064</v>
      </c>
      <c r="FM13" s="116">
        <v>50</v>
      </c>
      <c r="FN13" s="125">
        <v>60326</v>
      </c>
      <c r="FO13" s="116">
        <v>33148</v>
      </c>
      <c r="FP13" s="116">
        <v>27178</v>
      </c>
      <c r="FQ13" s="116">
        <v>-302</v>
      </c>
      <c r="FR13" s="153">
        <v>607</v>
      </c>
      <c r="FS13" s="153">
        <v>424</v>
      </c>
      <c r="FT13" s="276">
        <v>854</v>
      </c>
      <c r="FU13" s="3">
        <v>1865</v>
      </c>
      <c r="FV13" s="159">
        <v>1887</v>
      </c>
      <c r="FW13" s="170"/>
      <c r="FZ13" s="155"/>
      <c r="GA13" s="2"/>
      <c r="GD13" s="163"/>
      <c r="GE13" s="2"/>
      <c r="GF13" s="2"/>
    </row>
    <row r="14" spans="1:188" ht="14.5" x14ac:dyDescent="0.35">
      <c r="A14" s="72">
        <v>51</v>
      </c>
      <c r="B14" s="70" t="s">
        <v>12</v>
      </c>
      <c r="C14" s="158">
        <v>9454</v>
      </c>
      <c r="D14" s="171"/>
      <c r="E14" s="128">
        <v>2.9886304909560724</v>
      </c>
      <c r="F14" s="128">
        <v>33.19823769702932</v>
      </c>
      <c r="G14" s="129">
        <v>15.337423312883436</v>
      </c>
      <c r="H14" s="216"/>
      <c r="I14" s="172"/>
      <c r="J14" s="218"/>
      <c r="K14" s="128">
        <v>75.003105493618207</v>
      </c>
      <c r="L14" s="129">
        <v>2765.1787603130947</v>
      </c>
      <c r="M14" s="129">
        <v>99.312336722905101</v>
      </c>
      <c r="N14" s="129">
        <v>10162.78823778295</v>
      </c>
      <c r="O14" s="129"/>
      <c r="P14" s="117">
        <v>31437</v>
      </c>
      <c r="Q14" s="161">
        <v>87039</v>
      </c>
      <c r="R14" s="161">
        <v>0</v>
      </c>
      <c r="S14" s="161">
        <v>-55602</v>
      </c>
      <c r="T14" s="124">
        <v>50340</v>
      </c>
      <c r="U14" s="124">
        <v>11737</v>
      </c>
      <c r="V14" s="136"/>
      <c r="X14" s="116">
        <v>-129</v>
      </c>
      <c r="Y14" s="116">
        <v>-693</v>
      </c>
      <c r="Z14" s="161">
        <v>5653</v>
      </c>
      <c r="AA14" s="116">
        <v>5919</v>
      </c>
      <c r="AB14" s="116">
        <v>0</v>
      </c>
      <c r="AD14" s="161">
        <v>-266</v>
      </c>
      <c r="AE14" s="117">
        <v>1</v>
      </c>
      <c r="AF14" s="117">
        <v>-52</v>
      </c>
      <c r="AG14" s="116">
        <v>0</v>
      </c>
      <c r="AH14" s="116">
        <v>-7</v>
      </c>
      <c r="AI14" s="160">
        <v>-324</v>
      </c>
      <c r="AJ14" s="161">
        <v>75926</v>
      </c>
      <c r="AK14" s="161">
        <v>5702</v>
      </c>
      <c r="AL14" s="150"/>
      <c r="AM14" s="161">
        <v>1108</v>
      </c>
      <c r="AN14" s="161">
        <v>-1805</v>
      </c>
      <c r="AO14" s="160">
        <v>1863</v>
      </c>
      <c r="AQ14" s="160"/>
      <c r="AR14" s="117"/>
      <c r="AS14" s="117"/>
      <c r="AT14" s="99">
        <v>18</v>
      </c>
      <c r="AU14" s="130"/>
      <c r="AV14" s="262">
        <v>113</v>
      </c>
      <c r="AW14" s="267">
        <v>9402</v>
      </c>
      <c r="AX14" s="124"/>
      <c r="AY14" s="255">
        <v>2.7975016436554898</v>
      </c>
      <c r="AZ14" s="259">
        <v>30.76287235934835</v>
      </c>
      <c r="BA14" s="160">
        <v>-38.608806636885767</v>
      </c>
      <c r="BB14" s="130"/>
      <c r="BC14" s="130"/>
      <c r="BD14" s="130"/>
      <c r="BE14" s="128">
        <v>75.731238509109147</v>
      </c>
      <c r="BF14" s="160">
        <v>2591.6826207189956</v>
      </c>
      <c r="BG14" s="129">
        <v>95.438342051830887</v>
      </c>
      <c r="BH14" s="131">
        <v>10633.801318868325</v>
      </c>
      <c r="BI14" s="124"/>
      <c r="BJ14" s="117">
        <v>32393</v>
      </c>
      <c r="BK14" s="117">
        <v>93103</v>
      </c>
      <c r="BL14" s="161">
        <v>0</v>
      </c>
      <c r="BM14" s="161">
        <v>-60710</v>
      </c>
      <c r="BN14" s="117">
        <v>52060</v>
      </c>
      <c r="BO14" s="117">
        <v>11120</v>
      </c>
      <c r="BP14" s="136"/>
      <c r="BR14" s="160">
        <v>-49</v>
      </c>
      <c r="BS14" s="160">
        <v>1785</v>
      </c>
      <c r="BT14" s="161">
        <v>4206</v>
      </c>
      <c r="BU14" s="125">
        <v>5684</v>
      </c>
      <c r="BV14" s="160">
        <v>0</v>
      </c>
      <c r="BW14" s="117"/>
      <c r="BX14" s="161">
        <v>-1478</v>
      </c>
      <c r="BY14" s="161">
        <v>0</v>
      </c>
      <c r="BZ14" s="160">
        <v>-49</v>
      </c>
      <c r="CA14" s="160">
        <v>13</v>
      </c>
      <c r="CB14" s="160">
        <v>-14</v>
      </c>
      <c r="CC14" s="160">
        <v>-1554</v>
      </c>
      <c r="CD14" s="160">
        <v>74437</v>
      </c>
      <c r="CE14" s="116">
        <v>4127</v>
      </c>
      <c r="CF14" s="150"/>
      <c r="CG14" s="160">
        <v>385</v>
      </c>
      <c r="CH14" s="160">
        <v>-1472</v>
      </c>
      <c r="CI14" s="159">
        <v>-654</v>
      </c>
      <c r="CK14" s="124"/>
      <c r="CL14" s="161"/>
      <c r="CM14" s="124"/>
      <c r="CN14" s="265">
        <v>18</v>
      </c>
      <c r="CO14" s="130"/>
      <c r="CP14" s="116">
        <v>143</v>
      </c>
      <c r="CQ14" s="267">
        <v>9452</v>
      </c>
      <c r="CR14" s="124"/>
      <c r="CS14" s="268">
        <v>2.5040526849037485</v>
      </c>
      <c r="CT14" s="269">
        <v>32.856197937121479</v>
      </c>
      <c r="CU14" s="160">
        <v>19.043588658484975</v>
      </c>
      <c r="CV14" s="130"/>
      <c r="CW14" s="130"/>
      <c r="CX14" s="130"/>
      <c r="CY14" s="269">
        <v>74.352081122509134</v>
      </c>
      <c r="CZ14" s="125">
        <v>2637.0080406263223</v>
      </c>
      <c r="DA14" s="125">
        <v>88.212550783939179</v>
      </c>
      <c r="DB14" s="273">
        <v>10911.235717308506</v>
      </c>
      <c r="DC14" s="124"/>
      <c r="DD14" s="117">
        <v>31423</v>
      </c>
      <c r="DE14" s="117">
        <v>92433</v>
      </c>
      <c r="DF14" s="117">
        <v>0</v>
      </c>
      <c r="DG14" s="117">
        <v>-61010</v>
      </c>
      <c r="DH14" s="117">
        <v>51185</v>
      </c>
      <c r="DI14" s="117">
        <v>14150</v>
      </c>
      <c r="DJ14" s="136"/>
      <c r="DL14" s="160">
        <v>-128</v>
      </c>
      <c r="DM14" s="160">
        <v>616</v>
      </c>
      <c r="DN14" s="161">
        <v>4813</v>
      </c>
      <c r="DO14" s="116">
        <v>5453</v>
      </c>
      <c r="DP14" s="160">
        <v>86</v>
      </c>
      <c r="DQ14" s="117"/>
      <c r="DR14" s="161">
        <v>-554</v>
      </c>
      <c r="DS14" s="117">
        <v>0</v>
      </c>
      <c r="DT14" s="116">
        <v>-24</v>
      </c>
      <c r="DU14" s="116">
        <v>1</v>
      </c>
      <c r="DV14" s="116">
        <v>-6</v>
      </c>
      <c r="DW14" s="160">
        <v>-585</v>
      </c>
      <c r="DX14" s="160">
        <v>73724</v>
      </c>
      <c r="DY14" s="116">
        <v>4709</v>
      </c>
      <c r="DZ14" s="150"/>
      <c r="EA14" s="116">
        <v>-2393</v>
      </c>
      <c r="EB14" s="116">
        <v>-1844</v>
      </c>
      <c r="EC14" s="159">
        <v>382</v>
      </c>
      <c r="EE14" s="125"/>
      <c r="EF14" s="161"/>
      <c r="EG14" s="124"/>
      <c r="EH14" s="253">
        <v>18</v>
      </c>
      <c r="EI14" s="130"/>
      <c r="EJ14" s="125">
        <v>281</v>
      </c>
      <c r="EK14" s="116"/>
      <c r="EL14" s="159"/>
      <c r="EN14" s="116"/>
      <c r="EO14" s="116"/>
      <c r="EP14" s="159"/>
      <c r="EQ14" s="159">
        <v>-5328</v>
      </c>
      <c r="ER14" s="116">
        <v>16</v>
      </c>
      <c r="ES14" s="116">
        <v>1473</v>
      </c>
      <c r="ET14" s="160">
        <v>-4977</v>
      </c>
      <c r="EU14" s="116">
        <v>48</v>
      </c>
      <c r="EV14" s="116">
        <v>148</v>
      </c>
      <c r="EW14" s="160">
        <v>-8421</v>
      </c>
      <c r="EX14" s="160">
        <v>24</v>
      </c>
      <c r="EY14" s="160">
        <v>4070</v>
      </c>
      <c r="EZ14" s="116">
        <v>660</v>
      </c>
      <c r="FA14" s="116">
        <v>-379</v>
      </c>
      <c r="FB14" s="116">
        <v>402</v>
      </c>
      <c r="FC14" s="160">
        <v>-448</v>
      </c>
      <c r="FD14" s="116">
        <v>3413</v>
      </c>
      <c r="FE14" s="116">
        <v>130</v>
      </c>
      <c r="FF14" s="3">
        <v>16111</v>
      </c>
      <c r="FG14" s="3">
        <v>14279</v>
      </c>
      <c r="FH14" s="3">
        <v>1832</v>
      </c>
      <c r="FI14" s="3">
        <v>62</v>
      </c>
      <c r="FJ14" s="125">
        <v>14768</v>
      </c>
      <c r="FK14" s="160">
        <v>12838</v>
      </c>
      <c r="FL14" s="125">
        <v>1930</v>
      </c>
      <c r="FM14" s="116">
        <v>105</v>
      </c>
      <c r="FN14" s="125">
        <v>16034</v>
      </c>
      <c r="FO14" s="116">
        <v>14051</v>
      </c>
      <c r="FP14" s="116">
        <v>1983</v>
      </c>
      <c r="FQ14" s="116">
        <v>-2393</v>
      </c>
      <c r="FR14" s="153">
        <v>47</v>
      </c>
      <c r="FS14" s="153">
        <v>0</v>
      </c>
      <c r="FT14" s="276">
        <v>335</v>
      </c>
      <c r="FU14" s="3">
        <v>201</v>
      </c>
      <c r="FV14" s="159">
        <v>1217</v>
      </c>
      <c r="FW14" s="170"/>
      <c r="FZ14" s="155"/>
      <c r="GA14" s="2"/>
      <c r="GD14" s="163"/>
      <c r="GE14" s="2"/>
      <c r="GF14" s="2"/>
    </row>
    <row r="15" spans="1:188" ht="14.5" x14ac:dyDescent="0.35">
      <c r="A15" s="72">
        <v>52</v>
      </c>
      <c r="B15" s="70" t="s">
        <v>13</v>
      </c>
      <c r="C15" s="158">
        <v>2473</v>
      </c>
      <c r="D15" s="171"/>
      <c r="E15" s="128">
        <v>-0.42926829268292682</v>
      </c>
      <c r="F15" s="128">
        <v>42.641199424933248</v>
      </c>
      <c r="G15" s="129">
        <v>-877.88111605337645</v>
      </c>
      <c r="H15" s="216"/>
      <c r="I15" s="172"/>
      <c r="J15" s="218"/>
      <c r="K15" s="128">
        <v>49.380515197432928</v>
      </c>
      <c r="L15" s="129">
        <v>2844.3186413263243</v>
      </c>
      <c r="M15" s="129">
        <v>97.553385515616696</v>
      </c>
      <c r="N15" s="129">
        <v>10642.135058633239</v>
      </c>
      <c r="O15" s="129"/>
      <c r="P15" s="117">
        <v>7570</v>
      </c>
      <c r="Q15" s="161">
        <v>24216</v>
      </c>
      <c r="R15" s="161">
        <v>4</v>
      </c>
      <c r="S15" s="161">
        <v>-16642</v>
      </c>
      <c r="T15" s="124">
        <v>7975</v>
      </c>
      <c r="U15" s="124">
        <v>8800</v>
      </c>
      <c r="V15" s="136"/>
      <c r="X15" s="116">
        <v>21</v>
      </c>
      <c r="Y15" s="116">
        <v>-270</v>
      </c>
      <c r="Z15" s="161">
        <v>-116</v>
      </c>
      <c r="AA15" s="116">
        <v>940</v>
      </c>
      <c r="AB15" s="116">
        <v>0</v>
      </c>
      <c r="AD15" s="161">
        <v>-1056</v>
      </c>
      <c r="AE15" s="116">
        <v>-2</v>
      </c>
      <c r="AF15" s="116">
        <v>-25</v>
      </c>
      <c r="AG15" s="116">
        <v>-2</v>
      </c>
      <c r="AH15" s="116">
        <v>-1</v>
      </c>
      <c r="AI15" s="160">
        <v>-1086</v>
      </c>
      <c r="AJ15" s="161">
        <v>2289</v>
      </c>
      <c r="AK15" s="161">
        <v>-188</v>
      </c>
      <c r="AL15" s="150"/>
      <c r="AM15" s="161">
        <v>41</v>
      </c>
      <c r="AN15" s="161">
        <v>-177</v>
      </c>
      <c r="AO15" s="160">
        <v>-1554</v>
      </c>
      <c r="AQ15" s="160"/>
      <c r="AR15" s="117"/>
      <c r="AS15" s="117"/>
      <c r="AT15" s="99">
        <v>21.5</v>
      </c>
      <c r="AU15" s="130"/>
      <c r="AV15" s="262">
        <v>286</v>
      </c>
      <c r="AW15" s="267">
        <v>2425</v>
      </c>
      <c r="AX15" s="124"/>
      <c r="AY15" s="255">
        <v>2.4423076923076925</v>
      </c>
      <c r="AZ15" s="259">
        <v>52.372211803200194</v>
      </c>
      <c r="BA15" s="160">
        <v>-1726.1855670103093</v>
      </c>
      <c r="BB15" s="130"/>
      <c r="BC15" s="130"/>
      <c r="BD15" s="130"/>
      <c r="BE15" s="128">
        <v>43.984696635754979</v>
      </c>
      <c r="BF15" s="160">
        <v>3125.7731958762888</v>
      </c>
      <c r="BG15" s="129">
        <v>92.290426676228037</v>
      </c>
      <c r="BH15" s="131">
        <v>11501.030927835052</v>
      </c>
      <c r="BI15" s="124"/>
      <c r="BJ15" s="117">
        <v>7743</v>
      </c>
      <c r="BK15" s="117">
        <v>25616</v>
      </c>
      <c r="BL15" s="161">
        <v>1</v>
      </c>
      <c r="BM15" s="161">
        <v>-17872</v>
      </c>
      <c r="BN15" s="117">
        <v>8046</v>
      </c>
      <c r="BO15" s="117">
        <v>9272</v>
      </c>
      <c r="BP15" s="136"/>
      <c r="BR15" s="160">
        <v>24</v>
      </c>
      <c r="BS15" s="160">
        <v>624</v>
      </c>
      <c r="BT15" s="161">
        <v>94</v>
      </c>
      <c r="BU15" s="125">
        <v>1115</v>
      </c>
      <c r="BV15" s="160">
        <v>0</v>
      </c>
      <c r="BX15" s="161">
        <v>-1021</v>
      </c>
      <c r="BY15" s="160">
        <v>4</v>
      </c>
      <c r="BZ15" s="160">
        <v>-12</v>
      </c>
      <c r="CA15" s="160">
        <v>2</v>
      </c>
      <c r="CB15" s="160">
        <v>2</v>
      </c>
      <c r="CC15" s="160">
        <v>-1029</v>
      </c>
      <c r="CD15" s="160">
        <v>1214</v>
      </c>
      <c r="CE15" s="116">
        <v>79</v>
      </c>
      <c r="CF15" s="150"/>
      <c r="CG15" s="160">
        <v>-100</v>
      </c>
      <c r="CH15" s="160">
        <v>-19</v>
      </c>
      <c r="CI15" s="159">
        <v>-1866</v>
      </c>
      <c r="CK15" s="124"/>
      <c r="CL15" s="161"/>
      <c r="CM15" s="124"/>
      <c r="CN15" s="265">
        <v>21.5</v>
      </c>
      <c r="CO15" s="130"/>
      <c r="CP15" s="116">
        <v>271</v>
      </c>
      <c r="CQ15" s="267">
        <v>2408</v>
      </c>
      <c r="CR15" s="124"/>
      <c r="CS15" s="268">
        <v>2.8091168091168091</v>
      </c>
      <c r="CT15" s="269">
        <v>58.585431481837404</v>
      </c>
      <c r="CU15" s="160">
        <v>-2340.9468438538206</v>
      </c>
      <c r="CV15" s="130"/>
      <c r="CW15" s="130"/>
      <c r="CX15" s="130"/>
      <c r="CY15" s="269">
        <v>39.840652934317916</v>
      </c>
      <c r="CZ15" s="125">
        <v>3496.262458471761</v>
      </c>
      <c r="DA15" s="125">
        <v>107.88663413264052</v>
      </c>
      <c r="DB15" s="273">
        <v>11828.488372093023</v>
      </c>
      <c r="DC15" s="124"/>
      <c r="DD15" s="117">
        <v>7707</v>
      </c>
      <c r="DE15" s="117">
        <v>25330</v>
      </c>
      <c r="DF15" s="117">
        <v>2</v>
      </c>
      <c r="DG15" s="117">
        <v>-17621</v>
      </c>
      <c r="DH15" s="117">
        <v>8100</v>
      </c>
      <c r="DI15" s="117">
        <v>10208</v>
      </c>
      <c r="DJ15" s="136"/>
      <c r="DL15" s="160">
        <v>35</v>
      </c>
      <c r="DM15" s="160">
        <v>231</v>
      </c>
      <c r="DN15" s="161">
        <v>953</v>
      </c>
      <c r="DO15" s="116">
        <v>1260</v>
      </c>
      <c r="DP15" s="160">
        <v>0</v>
      </c>
      <c r="DR15" s="161">
        <v>-307</v>
      </c>
      <c r="DS15" s="116">
        <v>-1</v>
      </c>
      <c r="DT15" s="116">
        <v>-5</v>
      </c>
      <c r="DU15" s="116">
        <v>5</v>
      </c>
      <c r="DV15" s="116">
        <v>0</v>
      </c>
      <c r="DW15" s="160">
        <v>-318</v>
      </c>
      <c r="DX15" s="160">
        <v>887</v>
      </c>
      <c r="DY15" s="116">
        <v>886</v>
      </c>
      <c r="DZ15" s="150"/>
      <c r="EA15" s="116">
        <v>255</v>
      </c>
      <c r="EB15" s="116">
        <v>-318</v>
      </c>
      <c r="EC15" s="159">
        <v>-1345</v>
      </c>
      <c r="EE15" s="125"/>
      <c r="EF15" s="161"/>
      <c r="EG15" s="124"/>
      <c r="EH15" s="253">
        <v>21.5</v>
      </c>
      <c r="EI15" s="130"/>
      <c r="EJ15" s="125">
        <v>288</v>
      </c>
      <c r="EK15" s="116"/>
      <c r="EL15" s="159"/>
      <c r="EN15" s="116"/>
      <c r="EO15" s="116"/>
      <c r="EP15" s="159"/>
      <c r="EQ15" s="159">
        <v>-1537</v>
      </c>
      <c r="ER15" s="116">
        <v>75</v>
      </c>
      <c r="ES15" s="116">
        <v>96</v>
      </c>
      <c r="ET15" s="160">
        <v>-2124</v>
      </c>
      <c r="EU15" s="116">
        <v>160</v>
      </c>
      <c r="EV15" s="116">
        <v>19</v>
      </c>
      <c r="EW15" s="160">
        <v>-2299</v>
      </c>
      <c r="EX15" s="160">
        <v>61</v>
      </c>
      <c r="EY15" s="160">
        <v>7</v>
      </c>
      <c r="EZ15" s="116">
        <v>538</v>
      </c>
      <c r="FA15" s="116">
        <v>550</v>
      </c>
      <c r="FB15" s="116">
        <v>299</v>
      </c>
      <c r="FC15" s="160">
        <v>1000</v>
      </c>
      <c r="FD15" s="116">
        <v>699</v>
      </c>
      <c r="FE15" s="116">
        <v>3209</v>
      </c>
      <c r="FF15" s="3">
        <v>8210</v>
      </c>
      <c r="FG15" s="3">
        <v>2398</v>
      </c>
      <c r="FH15" s="3">
        <v>5812</v>
      </c>
      <c r="FI15" s="3">
        <v>54</v>
      </c>
      <c r="FJ15" s="125">
        <v>9505</v>
      </c>
      <c r="FK15" s="160">
        <v>2530</v>
      </c>
      <c r="FL15" s="125">
        <v>6975</v>
      </c>
      <c r="FM15" s="116">
        <v>52</v>
      </c>
      <c r="FN15" s="125">
        <v>13108</v>
      </c>
      <c r="FO15" s="116">
        <v>3063</v>
      </c>
      <c r="FP15" s="116">
        <v>10045</v>
      </c>
      <c r="FQ15" s="116">
        <v>255</v>
      </c>
      <c r="FR15" s="153">
        <v>11</v>
      </c>
      <c r="FS15" s="153">
        <v>4</v>
      </c>
      <c r="FT15" s="276">
        <v>0</v>
      </c>
      <c r="FU15" s="3">
        <v>357</v>
      </c>
      <c r="FV15" s="159">
        <v>1072</v>
      </c>
      <c r="FW15" s="170"/>
      <c r="FZ15" s="155"/>
      <c r="GA15" s="2"/>
      <c r="GD15" s="163"/>
      <c r="GE15" s="2"/>
      <c r="GF15" s="2"/>
    </row>
    <row r="16" spans="1:188" ht="14.5" x14ac:dyDescent="0.35">
      <c r="A16" s="72">
        <v>61</v>
      </c>
      <c r="B16" s="70" t="s">
        <v>14</v>
      </c>
      <c r="C16" s="158">
        <v>17028</v>
      </c>
      <c r="D16" s="171"/>
      <c r="E16" s="128">
        <v>1.3053825267529149</v>
      </c>
      <c r="F16" s="128">
        <v>48.494517899254525</v>
      </c>
      <c r="G16" s="129">
        <v>-3143.5283063190036</v>
      </c>
      <c r="H16" s="216"/>
      <c r="I16" s="172"/>
      <c r="J16" s="218"/>
      <c r="K16" s="128">
        <v>49.584949271577635</v>
      </c>
      <c r="L16" s="129">
        <v>1288.9358703312193</v>
      </c>
      <c r="M16" s="129">
        <v>43.543595123303454</v>
      </c>
      <c r="N16" s="129">
        <v>10804.381019497299</v>
      </c>
      <c r="O16" s="129"/>
      <c r="P16" s="117">
        <v>74139</v>
      </c>
      <c r="Q16" s="161">
        <v>170963</v>
      </c>
      <c r="R16" s="161">
        <v>0</v>
      </c>
      <c r="S16" s="161">
        <v>-96824</v>
      </c>
      <c r="T16" s="124">
        <v>60239</v>
      </c>
      <c r="U16" s="124">
        <v>44568</v>
      </c>
      <c r="V16" s="136"/>
      <c r="X16" s="116">
        <v>-659</v>
      </c>
      <c r="Y16" s="116">
        <v>90</v>
      </c>
      <c r="Z16" s="161">
        <v>7414</v>
      </c>
      <c r="AA16" s="116">
        <v>13797</v>
      </c>
      <c r="AB16" s="116">
        <v>2000</v>
      </c>
      <c r="AD16" s="161">
        <v>-4383</v>
      </c>
      <c r="AE16" s="117">
        <v>108</v>
      </c>
      <c r="AF16" s="117">
        <v>0</v>
      </c>
      <c r="AG16" s="116">
        <v>-38</v>
      </c>
      <c r="AH16" s="116">
        <v>51</v>
      </c>
      <c r="AI16" s="160">
        <v>-4262</v>
      </c>
      <c r="AJ16" s="161">
        <v>21404</v>
      </c>
      <c r="AK16" s="161">
        <v>6504</v>
      </c>
      <c r="AL16" s="150"/>
      <c r="AM16" s="161">
        <v>2230</v>
      </c>
      <c r="AN16" s="161">
        <v>-5502</v>
      </c>
      <c r="AO16" s="160">
        <v>2011</v>
      </c>
      <c r="AQ16" s="160"/>
      <c r="AR16" s="117"/>
      <c r="AS16" s="117"/>
      <c r="AT16" s="99">
        <v>20.5</v>
      </c>
      <c r="AU16" s="130"/>
      <c r="AV16" s="262">
        <v>167</v>
      </c>
      <c r="AW16" s="267">
        <v>16901</v>
      </c>
      <c r="AX16" s="124"/>
      <c r="AY16" s="255">
        <v>0.63195818027691442</v>
      </c>
      <c r="AZ16" s="259">
        <v>51.892331166246514</v>
      </c>
      <c r="BA16" s="160">
        <v>-3215.0168629075206</v>
      </c>
      <c r="BB16" s="130"/>
      <c r="BC16" s="130"/>
      <c r="BD16" s="130"/>
      <c r="BE16" s="128">
        <v>48.542681850518576</v>
      </c>
      <c r="BF16" s="160">
        <v>1623.98674634637</v>
      </c>
      <c r="BG16" s="129">
        <v>41.091004216292738</v>
      </c>
      <c r="BH16" s="131">
        <v>11535.293769599433</v>
      </c>
      <c r="BI16" s="124"/>
      <c r="BJ16" s="117">
        <v>75167</v>
      </c>
      <c r="BK16" s="117">
        <v>172163</v>
      </c>
      <c r="BL16" s="161">
        <v>0</v>
      </c>
      <c r="BM16" s="161">
        <v>-96996</v>
      </c>
      <c r="BN16" s="117">
        <v>60261</v>
      </c>
      <c r="BO16" s="117">
        <v>45460</v>
      </c>
      <c r="BP16" s="136"/>
      <c r="BR16" s="160">
        <v>-514</v>
      </c>
      <c r="BS16" s="160">
        <v>92</v>
      </c>
      <c r="BT16" s="161">
        <v>8303</v>
      </c>
      <c r="BU16" s="125">
        <v>9409</v>
      </c>
      <c r="BV16" s="160">
        <v>0</v>
      </c>
      <c r="BX16" s="161">
        <v>-1106</v>
      </c>
      <c r="BY16" s="161">
        <v>-11</v>
      </c>
      <c r="BZ16" s="161">
        <v>4</v>
      </c>
      <c r="CA16" s="160">
        <v>11</v>
      </c>
      <c r="CB16" s="160">
        <v>200</v>
      </c>
      <c r="CC16" s="160">
        <v>-924</v>
      </c>
      <c r="CD16" s="160">
        <v>22751</v>
      </c>
      <c r="CE16" s="116">
        <v>6738</v>
      </c>
      <c r="CF16" s="150"/>
      <c r="CG16" s="161">
        <v>-780</v>
      </c>
      <c r="CH16" s="160">
        <v>-13513</v>
      </c>
      <c r="CI16" s="159">
        <v>-1108</v>
      </c>
      <c r="CK16" s="124"/>
      <c r="CL16" s="161"/>
      <c r="CM16" s="124"/>
      <c r="CN16" s="265">
        <v>20.5</v>
      </c>
      <c r="CO16" s="130"/>
      <c r="CP16" s="116">
        <v>124</v>
      </c>
      <c r="CQ16" s="267">
        <v>16800</v>
      </c>
      <c r="CR16" s="124"/>
      <c r="CS16" s="268">
        <v>2.7708557107053347</v>
      </c>
      <c r="CT16" s="269">
        <v>48.923441199684291</v>
      </c>
      <c r="CU16" s="160">
        <v>-2975.9523809523812</v>
      </c>
      <c r="CV16" s="130"/>
      <c r="CW16" s="130"/>
      <c r="CX16" s="130"/>
      <c r="CY16" s="269">
        <v>50.012689684344103</v>
      </c>
      <c r="CZ16" s="125">
        <v>1943.6904761904761</v>
      </c>
      <c r="DA16" s="125">
        <v>62.657501839974763</v>
      </c>
      <c r="DB16" s="273">
        <v>11322.619047619048</v>
      </c>
      <c r="DC16" s="124"/>
      <c r="DD16" s="117">
        <v>75469</v>
      </c>
      <c r="DE16" s="117">
        <v>174682</v>
      </c>
      <c r="DF16" s="117">
        <v>0</v>
      </c>
      <c r="DG16" s="117">
        <v>-99213</v>
      </c>
      <c r="DH16" s="117">
        <v>61171</v>
      </c>
      <c r="DI16" s="117">
        <v>53410</v>
      </c>
      <c r="DJ16" s="136"/>
      <c r="DL16" s="160">
        <v>-667</v>
      </c>
      <c r="DM16" s="160">
        <v>67</v>
      </c>
      <c r="DN16" s="161">
        <v>14768</v>
      </c>
      <c r="DO16" s="116">
        <v>10822</v>
      </c>
      <c r="DP16" s="160">
        <v>0</v>
      </c>
      <c r="DR16" s="161">
        <v>3946</v>
      </c>
      <c r="DS16" s="117">
        <v>13</v>
      </c>
      <c r="DT16" s="117">
        <v>1</v>
      </c>
      <c r="DU16" s="116">
        <v>38</v>
      </c>
      <c r="DV16" s="116">
        <v>0</v>
      </c>
      <c r="DW16" s="160">
        <v>3922</v>
      </c>
      <c r="DX16" s="160">
        <v>26673</v>
      </c>
      <c r="DY16" s="116">
        <v>13742</v>
      </c>
      <c r="DZ16" s="150"/>
      <c r="EA16" s="117">
        <v>1754</v>
      </c>
      <c r="EB16" s="116">
        <v>-4876</v>
      </c>
      <c r="EC16" s="159">
        <v>4120</v>
      </c>
      <c r="EE16" s="125"/>
      <c r="EF16" s="161"/>
      <c r="EG16" s="124"/>
      <c r="EH16" s="253">
        <v>20.5</v>
      </c>
      <c r="EI16" s="130"/>
      <c r="EJ16" s="125">
        <v>198</v>
      </c>
      <c r="EK16" s="116"/>
      <c r="EL16" s="159"/>
      <c r="EN16" s="116"/>
      <c r="EO16" s="116"/>
      <c r="EP16" s="159"/>
      <c r="EQ16" s="159">
        <v>-6742</v>
      </c>
      <c r="ER16" s="116">
        <v>43</v>
      </c>
      <c r="ES16" s="116">
        <v>2206</v>
      </c>
      <c r="ET16" s="160">
        <v>-8562</v>
      </c>
      <c r="EU16" s="116">
        <v>439</v>
      </c>
      <c r="EV16" s="116">
        <v>277</v>
      </c>
      <c r="EW16" s="160">
        <v>-9940</v>
      </c>
      <c r="EX16" s="160">
        <v>135</v>
      </c>
      <c r="EY16" s="160">
        <v>183</v>
      </c>
      <c r="EZ16" s="116">
        <v>6913</v>
      </c>
      <c r="FA16" s="116">
        <v>949</v>
      </c>
      <c r="FB16" s="116">
        <v>10152</v>
      </c>
      <c r="FC16" s="160">
        <v>4165</v>
      </c>
      <c r="FD16" s="116">
        <v>11051</v>
      </c>
      <c r="FE16" s="116">
        <v>-7463</v>
      </c>
      <c r="FF16" s="3">
        <v>68161</v>
      </c>
      <c r="FG16" s="3">
        <v>49096</v>
      </c>
      <c r="FH16" s="3">
        <v>19065</v>
      </c>
      <c r="FI16" s="3">
        <v>232</v>
      </c>
      <c r="FJ16" s="125">
        <v>68965</v>
      </c>
      <c r="FK16" s="160">
        <v>46512</v>
      </c>
      <c r="FL16" s="125">
        <v>22453</v>
      </c>
      <c r="FM16" s="116">
        <v>268</v>
      </c>
      <c r="FN16" s="125">
        <v>67667</v>
      </c>
      <c r="FO16" s="116">
        <v>52000</v>
      </c>
      <c r="FP16" s="116">
        <v>15667</v>
      </c>
      <c r="FQ16" s="116">
        <v>1754</v>
      </c>
      <c r="FR16" s="153">
        <v>954</v>
      </c>
      <c r="FS16" s="153">
        <v>131</v>
      </c>
      <c r="FT16" s="276">
        <v>105</v>
      </c>
      <c r="FU16" s="3">
        <v>2019</v>
      </c>
      <c r="FV16" s="159">
        <v>2394</v>
      </c>
      <c r="FW16" s="170"/>
      <c r="FZ16" s="155"/>
      <c r="GA16" s="2"/>
      <c r="GD16" s="163"/>
      <c r="GE16" s="2"/>
      <c r="GF16" s="2"/>
    </row>
    <row r="17" spans="1:188" ht="14.5" x14ac:dyDescent="0.35">
      <c r="A17" s="72">
        <v>69</v>
      </c>
      <c r="B17" s="70" t="s">
        <v>15</v>
      </c>
      <c r="C17" s="158">
        <v>7147</v>
      </c>
      <c r="D17" s="171"/>
      <c r="E17" s="128">
        <v>0.39677610174504585</v>
      </c>
      <c r="F17" s="128">
        <v>62.424697157521585</v>
      </c>
      <c r="G17" s="129">
        <v>-4110.1161326430665</v>
      </c>
      <c r="H17" s="216"/>
      <c r="I17" s="172"/>
      <c r="J17" s="218"/>
      <c r="K17" s="128">
        <v>32.865137594465374</v>
      </c>
      <c r="L17" s="129">
        <v>3005.8765915768854</v>
      </c>
      <c r="M17" s="129">
        <v>77.735099928622418</v>
      </c>
      <c r="N17" s="129">
        <v>14113.893941513921</v>
      </c>
      <c r="O17" s="129"/>
      <c r="P17" s="117">
        <v>42556</v>
      </c>
      <c r="Q17" s="161">
        <v>89443</v>
      </c>
      <c r="R17" s="161">
        <v>-77</v>
      </c>
      <c r="S17" s="161">
        <v>-46964</v>
      </c>
      <c r="T17" s="124">
        <v>23059</v>
      </c>
      <c r="U17" s="124">
        <v>26347</v>
      </c>
      <c r="V17" s="136"/>
      <c r="X17" s="116">
        <v>-340</v>
      </c>
      <c r="Y17" s="116">
        <v>213</v>
      </c>
      <c r="Z17" s="161">
        <v>2315</v>
      </c>
      <c r="AA17" s="116">
        <v>4044</v>
      </c>
      <c r="AB17" s="117">
        <v>310</v>
      </c>
      <c r="AD17" s="161">
        <v>-1419</v>
      </c>
      <c r="AE17" s="117">
        <v>-74</v>
      </c>
      <c r="AF17" s="117">
        <v>-6</v>
      </c>
      <c r="AG17" s="116">
        <v>-88</v>
      </c>
      <c r="AH17" s="117">
        <v>25</v>
      </c>
      <c r="AI17" s="160">
        <v>-1562</v>
      </c>
      <c r="AJ17" s="161">
        <v>4957</v>
      </c>
      <c r="AK17" s="161">
        <v>2306</v>
      </c>
      <c r="AL17" s="150"/>
      <c r="AM17" s="161">
        <v>1096</v>
      </c>
      <c r="AN17" s="161">
        <v>-6394</v>
      </c>
      <c r="AO17" s="160">
        <v>921</v>
      </c>
      <c r="AQ17" s="160"/>
      <c r="AR17" s="117"/>
      <c r="AS17" s="117"/>
      <c r="AT17" s="99">
        <v>22</v>
      </c>
      <c r="AU17" s="130"/>
      <c r="AV17" s="262">
        <v>205</v>
      </c>
      <c r="AW17" s="267">
        <v>7010</v>
      </c>
      <c r="AX17" s="124"/>
      <c r="AY17" s="255">
        <v>0.52130553037171345</v>
      </c>
      <c r="AZ17" s="259">
        <v>75.227205778063862</v>
      </c>
      <c r="BA17" s="160">
        <v>-5595.5777460770323</v>
      </c>
      <c r="BB17" s="130"/>
      <c r="BC17" s="130"/>
      <c r="BD17" s="130"/>
      <c r="BE17" s="128">
        <v>30.097193839405872</v>
      </c>
      <c r="BF17" s="160">
        <v>3234.3794579172613</v>
      </c>
      <c r="BG17" s="129">
        <v>71.609186457436877</v>
      </c>
      <c r="BH17" s="131">
        <v>15581.455064194008</v>
      </c>
      <c r="BI17" s="124"/>
      <c r="BJ17" s="117">
        <v>42245</v>
      </c>
      <c r="BK17" s="117">
        <v>90080</v>
      </c>
      <c r="BL17" s="161">
        <v>17</v>
      </c>
      <c r="BM17" s="161">
        <v>-47818</v>
      </c>
      <c r="BN17" s="117">
        <v>23480</v>
      </c>
      <c r="BO17" s="117">
        <v>25932</v>
      </c>
      <c r="BP17" s="136"/>
      <c r="BR17" s="160">
        <v>-361</v>
      </c>
      <c r="BS17" s="160">
        <v>1825</v>
      </c>
      <c r="BT17" s="161">
        <v>3058</v>
      </c>
      <c r="BU17" s="125">
        <v>4278</v>
      </c>
      <c r="BV17" s="161">
        <v>0</v>
      </c>
      <c r="BX17" s="161">
        <v>-1220</v>
      </c>
      <c r="BY17" s="161">
        <v>-192</v>
      </c>
      <c r="BZ17" s="161">
        <v>-1</v>
      </c>
      <c r="CA17" s="161">
        <v>206</v>
      </c>
      <c r="CB17" s="161">
        <v>28</v>
      </c>
      <c r="CC17" s="160">
        <v>-1591</v>
      </c>
      <c r="CD17" s="160">
        <v>3187</v>
      </c>
      <c r="CE17" s="116">
        <v>2597</v>
      </c>
      <c r="CF17" s="150"/>
      <c r="CG17" s="161">
        <v>-951</v>
      </c>
      <c r="CH17" s="160">
        <v>-6226</v>
      </c>
      <c r="CI17" s="159">
        <v>-9126</v>
      </c>
      <c r="CK17" s="124"/>
      <c r="CL17" s="161"/>
      <c r="CM17" s="124"/>
      <c r="CN17" s="265">
        <v>22.5</v>
      </c>
      <c r="CO17" s="130"/>
      <c r="CP17" s="116">
        <v>148</v>
      </c>
      <c r="CQ17" s="267">
        <v>6896</v>
      </c>
      <c r="CR17" s="124"/>
      <c r="CS17" s="268">
        <v>1.4170792079207921</v>
      </c>
      <c r="CT17" s="269">
        <v>80.716497125165859</v>
      </c>
      <c r="CU17" s="160">
        <v>-6780.1624129930397</v>
      </c>
      <c r="CV17" s="130"/>
      <c r="CW17" s="130"/>
      <c r="CX17" s="130"/>
      <c r="CY17" s="269">
        <v>29.159399138575445</v>
      </c>
      <c r="CZ17" s="125">
        <v>3500</v>
      </c>
      <c r="DA17" s="125">
        <v>77.830550401978968</v>
      </c>
      <c r="DB17" s="273">
        <v>16413.863109048722</v>
      </c>
      <c r="DC17" s="124"/>
      <c r="DD17" s="117">
        <v>43245</v>
      </c>
      <c r="DE17" s="117">
        <v>89699</v>
      </c>
      <c r="DF17" s="117">
        <v>54</v>
      </c>
      <c r="DG17" s="117">
        <v>-46400</v>
      </c>
      <c r="DH17" s="117">
        <v>23531</v>
      </c>
      <c r="DI17" s="117">
        <v>30447</v>
      </c>
      <c r="DJ17" s="136"/>
      <c r="DL17" s="160">
        <v>-351</v>
      </c>
      <c r="DM17" s="160">
        <v>412</v>
      </c>
      <c r="DN17" s="161">
        <v>7639</v>
      </c>
      <c r="DO17" s="116">
        <v>4983</v>
      </c>
      <c r="DP17" s="161">
        <v>0</v>
      </c>
      <c r="DR17" s="161">
        <v>2656</v>
      </c>
      <c r="DS17" s="117">
        <v>-14</v>
      </c>
      <c r="DT17" s="117">
        <v>-15</v>
      </c>
      <c r="DU17" s="117">
        <v>13</v>
      </c>
      <c r="DV17" s="117">
        <v>8</v>
      </c>
      <c r="DW17" s="160">
        <v>2622</v>
      </c>
      <c r="DX17" s="160">
        <v>5920</v>
      </c>
      <c r="DY17" s="116">
        <v>7026</v>
      </c>
      <c r="DZ17" s="150"/>
      <c r="EA17" s="117">
        <v>661</v>
      </c>
      <c r="EB17" s="116">
        <v>-5280</v>
      </c>
      <c r="EC17" s="159">
        <v>-8644</v>
      </c>
      <c r="EE17" s="125"/>
      <c r="EF17" s="161"/>
      <c r="EG17" s="124"/>
      <c r="EH17" s="253">
        <v>22.5</v>
      </c>
      <c r="EI17" s="130"/>
      <c r="EJ17" s="125">
        <v>100</v>
      </c>
      <c r="EK17" s="116"/>
      <c r="EL17" s="159"/>
      <c r="EN17" s="116"/>
      <c r="EO17" s="116"/>
      <c r="EP17" s="159"/>
      <c r="EQ17" s="159">
        <v>-2995</v>
      </c>
      <c r="ER17" s="116">
        <v>70</v>
      </c>
      <c r="ES17" s="116">
        <v>1540</v>
      </c>
      <c r="ET17" s="160">
        <v>-12295</v>
      </c>
      <c r="EU17" s="116">
        <v>188</v>
      </c>
      <c r="EV17" s="116">
        <v>384</v>
      </c>
      <c r="EW17" s="160">
        <v>-17193</v>
      </c>
      <c r="EX17" s="160">
        <v>55</v>
      </c>
      <c r="EY17" s="160">
        <v>1468</v>
      </c>
      <c r="EZ17" s="116">
        <v>6373</v>
      </c>
      <c r="FA17" s="116">
        <v>-894</v>
      </c>
      <c r="FB17" s="116">
        <v>14065</v>
      </c>
      <c r="FC17" s="160">
        <v>1970</v>
      </c>
      <c r="FD17" s="116">
        <v>19823</v>
      </c>
      <c r="FE17" s="116">
        <v>-2522</v>
      </c>
      <c r="FF17" s="3">
        <v>42154</v>
      </c>
      <c r="FG17" s="3">
        <v>29564</v>
      </c>
      <c r="FH17" s="3">
        <v>12590</v>
      </c>
      <c r="FI17" s="3">
        <v>169</v>
      </c>
      <c r="FJ17" s="125">
        <v>51953</v>
      </c>
      <c r="FK17" s="160">
        <v>38067</v>
      </c>
      <c r="FL17" s="125">
        <v>13886</v>
      </c>
      <c r="FM17" s="116">
        <v>169</v>
      </c>
      <c r="FN17" s="125">
        <v>63333</v>
      </c>
      <c r="FO17" s="116">
        <v>51392</v>
      </c>
      <c r="FP17" s="116">
        <v>11941</v>
      </c>
      <c r="FQ17" s="116">
        <v>661</v>
      </c>
      <c r="FR17" s="153">
        <v>6829</v>
      </c>
      <c r="FS17" s="153">
        <v>6567</v>
      </c>
      <c r="FT17" s="276">
        <v>5902</v>
      </c>
      <c r="FU17" s="3">
        <v>2759</v>
      </c>
      <c r="FV17" s="159">
        <v>3213</v>
      </c>
      <c r="FW17" s="170"/>
      <c r="FZ17" s="155"/>
      <c r="GA17" s="2"/>
      <c r="GD17" s="163"/>
      <c r="GE17" s="2"/>
      <c r="GF17" s="2"/>
    </row>
    <row r="18" spans="1:188" ht="14.5" x14ac:dyDescent="0.35">
      <c r="A18" s="72">
        <v>71</v>
      </c>
      <c r="B18" s="70" t="s">
        <v>16</v>
      </c>
      <c r="C18" s="158">
        <v>6854</v>
      </c>
      <c r="D18" s="171"/>
      <c r="E18" s="128">
        <v>0.5027519453406718</v>
      </c>
      <c r="F18" s="128">
        <v>66.628097195068435</v>
      </c>
      <c r="G18" s="129">
        <v>-4656.8427195798076</v>
      </c>
      <c r="H18" s="216"/>
      <c r="I18" s="172"/>
      <c r="J18" s="218"/>
      <c r="K18" s="128">
        <v>24.534474449036818</v>
      </c>
      <c r="L18" s="129">
        <v>1852.2030930843302</v>
      </c>
      <c r="M18" s="129">
        <v>55.424745523485996</v>
      </c>
      <c r="N18" s="129">
        <v>12197.694776772687</v>
      </c>
      <c r="O18" s="129"/>
      <c r="P18" s="117">
        <v>27937</v>
      </c>
      <c r="Q18" s="161">
        <v>72355</v>
      </c>
      <c r="R18" s="161">
        <v>2</v>
      </c>
      <c r="S18" s="161">
        <v>-44416</v>
      </c>
      <c r="T18" s="124">
        <v>20098</v>
      </c>
      <c r="U18" s="124">
        <v>27154</v>
      </c>
      <c r="V18" s="136"/>
      <c r="X18" s="116">
        <v>-328</v>
      </c>
      <c r="Y18" s="116">
        <v>-232</v>
      </c>
      <c r="Z18" s="161">
        <v>2276</v>
      </c>
      <c r="AA18" s="116">
        <v>3641</v>
      </c>
      <c r="AB18" s="116">
        <v>302</v>
      </c>
      <c r="AD18" s="161">
        <v>-1063</v>
      </c>
      <c r="AE18" s="116">
        <v>22</v>
      </c>
      <c r="AF18" s="116">
        <v>-7</v>
      </c>
      <c r="AG18" s="116">
        <v>-85</v>
      </c>
      <c r="AH18" s="116">
        <v>45</v>
      </c>
      <c r="AI18" s="160">
        <v>-1088</v>
      </c>
      <c r="AJ18" s="161">
        <v>-173</v>
      </c>
      <c r="AK18" s="161">
        <v>2364</v>
      </c>
      <c r="AL18" s="150"/>
      <c r="AM18" s="161">
        <v>1038</v>
      </c>
      <c r="AN18" s="161">
        <v>-4896</v>
      </c>
      <c r="AO18" s="160">
        <v>-849</v>
      </c>
      <c r="AQ18" s="160"/>
      <c r="AR18" s="117"/>
      <c r="AS18" s="117"/>
      <c r="AT18" s="99">
        <v>22</v>
      </c>
      <c r="AU18" s="130"/>
      <c r="AV18" s="262">
        <v>202</v>
      </c>
      <c r="AW18" s="267">
        <v>6758</v>
      </c>
      <c r="AX18" s="124"/>
      <c r="AY18" s="255">
        <v>0.95336174242424243</v>
      </c>
      <c r="AZ18" s="259">
        <v>62.738090852153412</v>
      </c>
      <c r="BA18" s="160">
        <v>-4723.4388872447471</v>
      </c>
      <c r="BB18" s="130"/>
      <c r="BC18" s="130"/>
      <c r="BD18" s="130"/>
      <c r="BE18" s="128">
        <v>24.746841824755485</v>
      </c>
      <c r="BF18" s="160">
        <v>2054.1580349215742</v>
      </c>
      <c r="BG18" s="129">
        <v>53.454789811268512</v>
      </c>
      <c r="BH18" s="131">
        <v>12826.871855578574</v>
      </c>
      <c r="BI18" s="124"/>
      <c r="BJ18" s="117">
        <v>33053</v>
      </c>
      <c r="BK18" s="117">
        <v>77883</v>
      </c>
      <c r="BL18" s="161">
        <v>2</v>
      </c>
      <c r="BM18" s="161">
        <v>-44828</v>
      </c>
      <c r="BN18" s="117">
        <v>21242</v>
      </c>
      <c r="BO18" s="117">
        <v>27134</v>
      </c>
      <c r="BP18" s="136"/>
      <c r="BR18" s="160">
        <v>-345</v>
      </c>
      <c r="BS18" s="160">
        <v>450</v>
      </c>
      <c r="BT18" s="161">
        <v>3653</v>
      </c>
      <c r="BU18" s="125">
        <v>3661</v>
      </c>
      <c r="BV18" s="160">
        <v>0</v>
      </c>
      <c r="BX18" s="161">
        <v>-8</v>
      </c>
      <c r="BY18" s="160">
        <v>25</v>
      </c>
      <c r="BZ18" s="160">
        <v>-1</v>
      </c>
      <c r="CA18" s="160">
        <v>91</v>
      </c>
      <c r="CB18" s="160">
        <v>-1</v>
      </c>
      <c r="CC18" s="160">
        <v>-76</v>
      </c>
      <c r="CD18" s="160">
        <v>-249</v>
      </c>
      <c r="CE18" s="116">
        <v>3532</v>
      </c>
      <c r="CF18" s="150"/>
      <c r="CG18" s="161">
        <v>183</v>
      </c>
      <c r="CH18" s="160">
        <v>-3850</v>
      </c>
      <c r="CI18" s="159">
        <v>32</v>
      </c>
      <c r="CK18" s="124"/>
      <c r="CL18" s="161"/>
      <c r="CM18" s="124"/>
      <c r="CN18" s="265">
        <v>22</v>
      </c>
      <c r="CO18" s="130"/>
      <c r="CP18" s="116">
        <v>105</v>
      </c>
      <c r="CQ18" s="267">
        <v>6667</v>
      </c>
      <c r="CR18" s="124"/>
      <c r="CS18" s="268">
        <v>1.9990853658536585</v>
      </c>
      <c r="CT18" s="269">
        <v>68.337524121396413</v>
      </c>
      <c r="CU18" s="160">
        <v>-5533.5233238338087</v>
      </c>
      <c r="CV18" s="130"/>
      <c r="CW18" s="130"/>
      <c r="CX18" s="130"/>
      <c r="CY18" s="269">
        <v>24.810222194246869</v>
      </c>
      <c r="CZ18" s="125">
        <v>2478.4760761961902</v>
      </c>
      <c r="DA18" s="125">
        <v>63.438200119907862</v>
      </c>
      <c r="DB18" s="273">
        <v>14260.236988150593</v>
      </c>
      <c r="DC18" s="124"/>
      <c r="DD18" s="117">
        <v>37213</v>
      </c>
      <c r="DE18" s="117">
        <v>78944</v>
      </c>
      <c r="DF18" s="117">
        <v>4</v>
      </c>
      <c r="DG18" s="117">
        <v>-41727</v>
      </c>
      <c r="DH18" s="117">
        <v>21461</v>
      </c>
      <c r="DI18" s="117">
        <v>26831</v>
      </c>
      <c r="DJ18" s="136"/>
      <c r="DL18" s="160">
        <v>-309</v>
      </c>
      <c r="DM18" s="160">
        <v>-30</v>
      </c>
      <c r="DN18" s="161">
        <v>6226</v>
      </c>
      <c r="DO18" s="116">
        <v>3718</v>
      </c>
      <c r="DP18" s="160">
        <v>0</v>
      </c>
      <c r="DR18" s="161">
        <v>2508</v>
      </c>
      <c r="DS18" s="116">
        <v>21</v>
      </c>
      <c r="DT18" s="116">
        <v>-15</v>
      </c>
      <c r="DU18" s="116">
        <v>103</v>
      </c>
      <c r="DV18" s="116">
        <v>2</v>
      </c>
      <c r="DW18" s="160">
        <v>2413</v>
      </c>
      <c r="DX18" s="160">
        <v>2279</v>
      </c>
      <c r="DY18" s="116">
        <v>5507</v>
      </c>
      <c r="DZ18" s="150"/>
      <c r="EA18" s="117">
        <v>292</v>
      </c>
      <c r="EB18" s="116">
        <v>-2949</v>
      </c>
      <c r="EC18" s="159">
        <v>-4823</v>
      </c>
      <c r="EE18" s="125"/>
      <c r="EF18" s="161"/>
      <c r="EG18" s="124"/>
      <c r="EH18" s="253">
        <v>22</v>
      </c>
      <c r="EI18" s="130"/>
      <c r="EJ18" s="125">
        <v>164</v>
      </c>
      <c r="EK18" s="116"/>
      <c r="EL18" s="159"/>
      <c r="EN18" s="116"/>
      <c r="EO18" s="116"/>
      <c r="EP18" s="159"/>
      <c r="EQ18" s="159">
        <v>-5182</v>
      </c>
      <c r="ER18" s="116">
        <v>48</v>
      </c>
      <c r="ES18" s="116">
        <v>1921</v>
      </c>
      <c r="ET18" s="160">
        <v>-4315</v>
      </c>
      <c r="EU18" s="116">
        <v>581</v>
      </c>
      <c r="EV18" s="116">
        <v>234</v>
      </c>
      <c r="EW18" s="160">
        <v>-11443</v>
      </c>
      <c r="EX18" s="160">
        <v>205</v>
      </c>
      <c r="EY18" s="160">
        <v>908</v>
      </c>
      <c r="EZ18" s="116">
        <v>9795</v>
      </c>
      <c r="FA18" s="116">
        <v>-6028</v>
      </c>
      <c r="FB18" s="116">
        <v>2179</v>
      </c>
      <c r="FC18" s="160">
        <v>1942</v>
      </c>
      <c r="FD18" s="116">
        <v>24565</v>
      </c>
      <c r="FE18" s="116">
        <v>-16010</v>
      </c>
      <c r="FF18" s="3">
        <v>37208</v>
      </c>
      <c r="FG18" s="3">
        <v>18903</v>
      </c>
      <c r="FH18" s="3">
        <v>18305</v>
      </c>
      <c r="FI18" s="3">
        <v>2</v>
      </c>
      <c r="FJ18" s="125">
        <v>37478</v>
      </c>
      <c r="FK18" s="160">
        <v>18364</v>
      </c>
      <c r="FL18" s="125">
        <v>19114</v>
      </c>
      <c r="FM18" s="116">
        <v>2</v>
      </c>
      <c r="FN18" s="125">
        <v>43083</v>
      </c>
      <c r="FO18" s="116">
        <v>39903</v>
      </c>
      <c r="FP18" s="116">
        <v>3180</v>
      </c>
      <c r="FQ18" s="116">
        <v>292</v>
      </c>
      <c r="FR18" s="153">
        <v>420</v>
      </c>
      <c r="FS18" s="153">
        <v>238</v>
      </c>
      <c r="FT18" s="276">
        <v>236</v>
      </c>
      <c r="FU18" s="3">
        <v>1108</v>
      </c>
      <c r="FV18" s="159">
        <v>1013</v>
      </c>
      <c r="FW18" s="170"/>
      <c r="FZ18" s="155"/>
      <c r="GA18" s="2"/>
      <c r="GD18" s="163"/>
      <c r="GE18" s="2"/>
      <c r="GF18" s="2"/>
    </row>
    <row r="19" spans="1:188" ht="14.5" x14ac:dyDescent="0.35">
      <c r="A19" s="72">
        <v>72</v>
      </c>
      <c r="B19" s="70" t="s">
        <v>17</v>
      </c>
      <c r="C19" s="158">
        <v>974</v>
      </c>
      <c r="D19" s="171"/>
      <c r="E19" s="128">
        <v>0.55241264559068215</v>
      </c>
      <c r="F19" s="128">
        <v>52.617970265029086</v>
      </c>
      <c r="G19" s="129">
        <v>-2983.5728952772074</v>
      </c>
      <c r="H19" s="216"/>
      <c r="I19" s="172"/>
      <c r="J19" s="218"/>
      <c r="K19" s="128">
        <v>57.32430143945809</v>
      </c>
      <c r="L19" s="129">
        <v>2542.094455852156</v>
      </c>
      <c r="M19" s="129">
        <v>62.378520154610719</v>
      </c>
      <c r="N19" s="129">
        <v>14874.743326488708</v>
      </c>
      <c r="O19" s="129"/>
      <c r="P19" s="117">
        <v>5181</v>
      </c>
      <c r="Q19" s="161">
        <v>12055</v>
      </c>
      <c r="R19" s="161">
        <v>0</v>
      </c>
      <c r="S19" s="161">
        <v>-6874</v>
      </c>
      <c r="T19" s="124">
        <v>3470</v>
      </c>
      <c r="U19" s="124">
        <v>3725</v>
      </c>
      <c r="V19" s="136"/>
      <c r="X19" s="116">
        <v>-16</v>
      </c>
      <c r="Y19" s="116">
        <v>5</v>
      </c>
      <c r="Z19" s="161">
        <v>310</v>
      </c>
      <c r="AA19" s="116">
        <v>681</v>
      </c>
      <c r="AB19" s="117">
        <v>88</v>
      </c>
      <c r="AD19" s="161">
        <v>-283</v>
      </c>
      <c r="AE19" s="117">
        <v>-1</v>
      </c>
      <c r="AF19" s="117">
        <v>-7</v>
      </c>
      <c r="AG19" s="116">
        <v>0</v>
      </c>
      <c r="AH19" s="116">
        <v>-1</v>
      </c>
      <c r="AI19" s="160">
        <v>-292</v>
      </c>
      <c r="AJ19" s="161">
        <v>6799</v>
      </c>
      <c r="AK19" s="161">
        <v>200</v>
      </c>
      <c r="AL19" s="150"/>
      <c r="AM19" s="161">
        <v>-75</v>
      </c>
      <c r="AN19" s="161">
        <v>-579</v>
      </c>
      <c r="AO19" s="160">
        <v>-860</v>
      </c>
      <c r="AQ19" s="160"/>
      <c r="AR19" s="117"/>
      <c r="AS19" s="117"/>
      <c r="AT19" s="99">
        <v>20.5</v>
      </c>
      <c r="AU19" s="130"/>
      <c r="AV19" s="262">
        <v>206</v>
      </c>
      <c r="AW19" s="267">
        <v>959</v>
      </c>
      <c r="AX19" s="124"/>
      <c r="AY19" s="255">
        <v>0.73154362416107388</v>
      </c>
      <c r="AZ19" s="259">
        <v>58.671053687505015</v>
      </c>
      <c r="BA19" s="160">
        <v>-5320.1251303441086</v>
      </c>
      <c r="BB19" s="130"/>
      <c r="BC19" s="130"/>
      <c r="BD19" s="130"/>
      <c r="BE19" s="128">
        <v>53.959849988969779</v>
      </c>
      <c r="BF19" s="160">
        <v>1162.6694473409802</v>
      </c>
      <c r="BG19" s="129">
        <v>59.93730095541401</v>
      </c>
      <c r="BH19" s="131">
        <v>15716.371220020856</v>
      </c>
      <c r="BI19" s="124"/>
      <c r="BJ19" s="117">
        <v>5157</v>
      </c>
      <c r="BK19" s="117">
        <v>12141</v>
      </c>
      <c r="BL19" s="161">
        <v>1</v>
      </c>
      <c r="BM19" s="161">
        <v>-6983</v>
      </c>
      <c r="BN19" s="117">
        <v>3591</v>
      </c>
      <c r="BO19" s="117">
        <v>3713</v>
      </c>
      <c r="BP19" s="136"/>
      <c r="BR19" s="160">
        <v>-13</v>
      </c>
      <c r="BS19" s="160">
        <v>0</v>
      </c>
      <c r="BT19" s="161">
        <v>308</v>
      </c>
      <c r="BU19" s="125">
        <v>692</v>
      </c>
      <c r="BV19" s="161">
        <v>0</v>
      </c>
      <c r="BX19" s="161">
        <v>-384</v>
      </c>
      <c r="BY19" s="161">
        <v>0</v>
      </c>
      <c r="BZ19" s="161">
        <v>-1</v>
      </c>
      <c r="CA19" s="160">
        <v>1</v>
      </c>
      <c r="CB19" s="160">
        <v>0</v>
      </c>
      <c r="CC19" s="160">
        <v>-386</v>
      </c>
      <c r="CD19" s="160">
        <v>6414</v>
      </c>
      <c r="CE19" s="116">
        <v>279</v>
      </c>
      <c r="CF19" s="150"/>
      <c r="CG19" s="160">
        <v>41</v>
      </c>
      <c r="CH19" s="160">
        <v>-428</v>
      </c>
      <c r="CI19" s="159">
        <v>-2189</v>
      </c>
      <c r="CK19" s="124"/>
      <c r="CL19" s="161"/>
      <c r="CM19" s="124"/>
      <c r="CN19" s="265">
        <v>20.5</v>
      </c>
      <c r="CO19" s="130"/>
      <c r="CP19" s="116">
        <v>201</v>
      </c>
      <c r="CQ19" s="267">
        <v>949</v>
      </c>
      <c r="CR19" s="124"/>
      <c r="CS19" s="268">
        <v>2.462140992167102</v>
      </c>
      <c r="CT19" s="269">
        <v>59.423963133640555</v>
      </c>
      <c r="CU19" s="160">
        <v>-5825.0790305584824</v>
      </c>
      <c r="CV19" s="130"/>
      <c r="CW19" s="130"/>
      <c r="CX19" s="130"/>
      <c r="CY19" s="269">
        <v>52.992872836396764</v>
      </c>
      <c r="CZ19" s="125">
        <v>1229.7154899894626</v>
      </c>
      <c r="DA19" s="125">
        <v>30.622214234363767</v>
      </c>
      <c r="DB19" s="273">
        <v>14657.534246575344</v>
      </c>
      <c r="DC19" s="124"/>
      <c r="DD19" s="117">
        <v>5273</v>
      </c>
      <c r="DE19" s="117">
        <v>12083</v>
      </c>
      <c r="DF19" s="117">
        <v>1</v>
      </c>
      <c r="DG19" s="117">
        <v>-6809</v>
      </c>
      <c r="DH19" s="117">
        <v>3605</v>
      </c>
      <c r="DI19" s="117">
        <v>4142</v>
      </c>
      <c r="DJ19" s="136"/>
      <c r="DL19" s="160">
        <v>-15</v>
      </c>
      <c r="DM19" s="160">
        <v>0</v>
      </c>
      <c r="DN19" s="161">
        <v>923</v>
      </c>
      <c r="DO19" s="116">
        <v>816</v>
      </c>
      <c r="DP19" s="161">
        <v>0</v>
      </c>
      <c r="DR19" s="161">
        <v>107</v>
      </c>
      <c r="DS19" s="117">
        <v>0</v>
      </c>
      <c r="DT19" s="117">
        <v>2</v>
      </c>
      <c r="DU19" s="116">
        <v>0</v>
      </c>
      <c r="DV19" s="116">
        <v>-1</v>
      </c>
      <c r="DW19" s="160">
        <v>108</v>
      </c>
      <c r="DX19" s="160">
        <v>6520</v>
      </c>
      <c r="DY19" s="116">
        <v>891</v>
      </c>
      <c r="DZ19" s="150"/>
      <c r="EA19" s="116">
        <v>51</v>
      </c>
      <c r="EB19" s="116">
        <v>-363</v>
      </c>
      <c r="EC19" s="159">
        <v>-453</v>
      </c>
      <c r="EE19" s="125"/>
      <c r="EF19" s="161"/>
      <c r="EG19" s="124"/>
      <c r="EH19" s="253">
        <v>20.5</v>
      </c>
      <c r="EI19" s="130"/>
      <c r="EJ19" s="125">
        <v>139</v>
      </c>
      <c r="EK19" s="116"/>
      <c r="EL19" s="159"/>
      <c r="EN19" s="116"/>
      <c r="EO19" s="116"/>
      <c r="EP19" s="159"/>
      <c r="EQ19" s="159">
        <v>-1816</v>
      </c>
      <c r="ER19" s="116">
        <v>6</v>
      </c>
      <c r="ES19" s="116">
        <v>750</v>
      </c>
      <c r="ET19" s="160">
        <v>-2480</v>
      </c>
      <c r="EU19" s="116">
        <v>0</v>
      </c>
      <c r="EV19" s="116">
        <v>12</v>
      </c>
      <c r="EW19" s="160">
        <v>-1436</v>
      </c>
      <c r="EX19" s="160">
        <v>42</v>
      </c>
      <c r="EY19" s="160">
        <v>50</v>
      </c>
      <c r="EZ19" s="116">
        <v>122</v>
      </c>
      <c r="FA19" s="116">
        <v>-6</v>
      </c>
      <c r="FB19" s="116">
        <v>1301</v>
      </c>
      <c r="FC19" s="160">
        <v>-17</v>
      </c>
      <c r="FD19" s="116">
        <v>741</v>
      </c>
      <c r="FE19" s="116">
        <v>9</v>
      </c>
      <c r="FF19" s="3">
        <v>2726</v>
      </c>
      <c r="FG19" s="3">
        <v>2334</v>
      </c>
      <c r="FH19" s="3">
        <v>392</v>
      </c>
      <c r="FI19" s="3">
        <v>1</v>
      </c>
      <c r="FJ19" s="125">
        <v>3581</v>
      </c>
      <c r="FK19" s="160">
        <v>3216</v>
      </c>
      <c r="FL19" s="125">
        <v>365</v>
      </c>
      <c r="FM19" s="116">
        <v>1</v>
      </c>
      <c r="FN19" s="125">
        <v>3968</v>
      </c>
      <c r="FO19" s="116">
        <v>3567</v>
      </c>
      <c r="FP19" s="116">
        <v>401</v>
      </c>
      <c r="FQ19" s="116">
        <v>51</v>
      </c>
      <c r="FR19" s="153">
        <v>18</v>
      </c>
      <c r="FS19" s="153">
        <v>0</v>
      </c>
      <c r="FT19" s="276">
        <v>0</v>
      </c>
      <c r="FU19" s="3">
        <v>156</v>
      </c>
      <c r="FV19" s="159">
        <v>122</v>
      </c>
      <c r="FW19" s="170"/>
      <c r="FZ19" s="155"/>
      <c r="GA19" s="2"/>
      <c r="GD19" s="163"/>
      <c r="GE19" s="2"/>
      <c r="GF19" s="2"/>
    </row>
    <row r="20" spans="1:188" ht="14.5" x14ac:dyDescent="0.35">
      <c r="A20" s="72">
        <v>74</v>
      </c>
      <c r="B20" s="70" t="s">
        <v>18</v>
      </c>
      <c r="C20" s="158">
        <v>1165</v>
      </c>
      <c r="D20" s="171"/>
      <c r="E20" s="128">
        <v>1.3242059145673604</v>
      </c>
      <c r="F20" s="128">
        <v>99.720389218208254</v>
      </c>
      <c r="G20" s="129">
        <v>-12215.450643776825</v>
      </c>
      <c r="H20" s="216"/>
      <c r="I20" s="172"/>
      <c r="J20" s="218"/>
      <c r="K20" s="128">
        <v>25.112440684959768</v>
      </c>
      <c r="L20" s="129">
        <v>1889.2703862660944</v>
      </c>
      <c r="M20" s="129">
        <v>43.50509043647785</v>
      </c>
      <c r="N20" s="129">
        <v>15850.643776824034</v>
      </c>
      <c r="O20" s="129"/>
      <c r="P20" s="117">
        <v>9508</v>
      </c>
      <c r="Q20" s="161">
        <v>16803</v>
      </c>
      <c r="R20" s="161">
        <v>52</v>
      </c>
      <c r="S20" s="161">
        <v>-7243</v>
      </c>
      <c r="T20" s="124">
        <v>3411</v>
      </c>
      <c r="U20" s="124">
        <v>4963</v>
      </c>
      <c r="V20" s="136"/>
      <c r="X20" s="116">
        <v>-130</v>
      </c>
      <c r="Y20" s="116">
        <v>18</v>
      </c>
      <c r="Z20" s="161">
        <v>1020</v>
      </c>
      <c r="AA20" s="116">
        <v>833</v>
      </c>
      <c r="AB20" s="116">
        <v>-53</v>
      </c>
      <c r="AD20" s="161">
        <v>186</v>
      </c>
      <c r="AE20" s="116">
        <v>-3</v>
      </c>
      <c r="AF20" s="116">
        <v>-35</v>
      </c>
      <c r="AG20" s="116">
        <v>-8</v>
      </c>
      <c r="AH20" s="116">
        <v>-2</v>
      </c>
      <c r="AI20" s="160">
        <v>138</v>
      </c>
      <c r="AJ20" s="161">
        <v>2074</v>
      </c>
      <c r="AK20" s="161">
        <v>635</v>
      </c>
      <c r="AL20" s="150"/>
      <c r="AM20" s="161">
        <v>-7</v>
      </c>
      <c r="AN20" s="161">
        <v>-776</v>
      </c>
      <c r="AO20" s="160">
        <v>220</v>
      </c>
      <c r="AQ20" s="160"/>
      <c r="AR20" s="117"/>
      <c r="AS20" s="117"/>
      <c r="AT20" s="99">
        <v>22</v>
      </c>
      <c r="AU20" s="130"/>
      <c r="AV20" s="262">
        <v>30</v>
      </c>
      <c r="AW20" s="267">
        <v>1127</v>
      </c>
      <c r="AX20" s="124"/>
      <c r="AY20" s="255">
        <v>0.79513888888888884</v>
      </c>
      <c r="AZ20" s="259">
        <v>100.86432833324039</v>
      </c>
      <c r="BA20" s="160">
        <v>-12891.748003549246</v>
      </c>
      <c r="BB20" s="130"/>
      <c r="BC20" s="130"/>
      <c r="BD20" s="130"/>
      <c r="BE20" s="128">
        <v>24.043941521433883</v>
      </c>
      <c r="BF20" s="160">
        <v>2078.083407275954</v>
      </c>
      <c r="BG20" s="129">
        <v>42.311318270395532</v>
      </c>
      <c r="BH20" s="131">
        <v>16847.382431233364</v>
      </c>
      <c r="BI20" s="124"/>
      <c r="BJ20" s="117">
        <v>9293</v>
      </c>
      <c r="BK20" s="117">
        <v>17331</v>
      </c>
      <c r="BL20" s="161">
        <v>53</v>
      </c>
      <c r="BM20" s="161">
        <v>-7985</v>
      </c>
      <c r="BN20" s="117">
        <v>3852</v>
      </c>
      <c r="BO20" s="117">
        <v>4788</v>
      </c>
      <c r="BP20" s="136"/>
      <c r="BR20" s="160">
        <v>-125</v>
      </c>
      <c r="BS20" s="160">
        <v>25</v>
      </c>
      <c r="BT20" s="161">
        <v>555</v>
      </c>
      <c r="BU20" s="125">
        <v>841</v>
      </c>
      <c r="BV20" s="160">
        <v>0</v>
      </c>
      <c r="BX20" s="161">
        <v>-286</v>
      </c>
      <c r="BY20" s="160">
        <v>-2</v>
      </c>
      <c r="BZ20" s="160">
        <v>-3</v>
      </c>
      <c r="CA20" s="160">
        <v>6</v>
      </c>
      <c r="CB20" s="160">
        <v>0</v>
      </c>
      <c r="CC20" s="160">
        <v>-297</v>
      </c>
      <c r="CD20" s="160">
        <v>1782</v>
      </c>
      <c r="CE20" s="116">
        <v>436</v>
      </c>
      <c r="CF20" s="150"/>
      <c r="CG20" s="161">
        <v>142</v>
      </c>
      <c r="CH20" s="160">
        <v>-732</v>
      </c>
      <c r="CI20" s="159">
        <v>-263</v>
      </c>
      <c r="CK20" s="124"/>
      <c r="CL20" s="161"/>
      <c r="CM20" s="124"/>
      <c r="CN20" s="265">
        <v>22</v>
      </c>
      <c r="CO20" s="130"/>
      <c r="CP20" s="116">
        <v>123</v>
      </c>
      <c r="CQ20" s="267">
        <v>1103</v>
      </c>
      <c r="CR20" s="124"/>
      <c r="CS20" s="268">
        <v>2.6736972704714641</v>
      </c>
      <c r="CT20" s="269">
        <v>93.144576371353352</v>
      </c>
      <c r="CU20" s="160">
        <v>-11989.12058023572</v>
      </c>
      <c r="CV20" s="130"/>
      <c r="CW20" s="130"/>
      <c r="CX20" s="130"/>
      <c r="CY20" s="269">
        <v>27.390820240009898</v>
      </c>
      <c r="CZ20" s="125">
        <v>2300.997280145059</v>
      </c>
      <c r="DA20" s="125">
        <v>51.211786168389629</v>
      </c>
      <c r="DB20" s="273">
        <v>16399.818676337261</v>
      </c>
      <c r="DC20" s="124"/>
      <c r="DD20" s="117">
        <v>9046</v>
      </c>
      <c r="DE20" s="117">
        <v>16539</v>
      </c>
      <c r="DF20" s="117">
        <v>53</v>
      </c>
      <c r="DG20" s="117">
        <v>-7440</v>
      </c>
      <c r="DH20" s="117">
        <v>4000</v>
      </c>
      <c r="DI20" s="117">
        <v>5567</v>
      </c>
      <c r="DJ20" s="136"/>
      <c r="DL20" s="160">
        <v>-97</v>
      </c>
      <c r="DM20" s="160">
        <v>24</v>
      </c>
      <c r="DN20" s="161">
        <v>2054</v>
      </c>
      <c r="DO20" s="116">
        <v>1216</v>
      </c>
      <c r="DP20" s="160">
        <v>0</v>
      </c>
      <c r="DR20" s="161">
        <v>838</v>
      </c>
      <c r="DS20" s="116">
        <v>-2</v>
      </c>
      <c r="DT20" s="116">
        <v>-16</v>
      </c>
      <c r="DU20" s="116">
        <v>8</v>
      </c>
      <c r="DV20" s="116">
        <v>0</v>
      </c>
      <c r="DW20" s="160">
        <v>812</v>
      </c>
      <c r="DX20" s="160">
        <v>2594</v>
      </c>
      <c r="DY20" s="116">
        <v>2007</v>
      </c>
      <c r="DZ20" s="150"/>
      <c r="EA20" s="117">
        <v>-367</v>
      </c>
      <c r="EB20" s="116">
        <v>-705</v>
      </c>
      <c r="EC20" s="159">
        <v>1296</v>
      </c>
      <c r="EE20" s="125"/>
      <c r="EF20" s="161"/>
      <c r="EG20" s="124"/>
      <c r="EH20" s="253">
        <v>23.5</v>
      </c>
      <c r="EI20" s="130"/>
      <c r="EJ20" s="125">
        <v>9</v>
      </c>
      <c r="EK20" s="116"/>
      <c r="EL20" s="159"/>
      <c r="EN20" s="116"/>
      <c r="EO20" s="116"/>
      <c r="EP20" s="159"/>
      <c r="EQ20" s="159">
        <v>-798</v>
      </c>
      <c r="ER20" s="116">
        <v>15</v>
      </c>
      <c r="ES20" s="116">
        <v>368</v>
      </c>
      <c r="ET20" s="160">
        <v>-791</v>
      </c>
      <c r="EU20" s="116">
        <v>14</v>
      </c>
      <c r="EV20" s="116">
        <v>78</v>
      </c>
      <c r="EW20" s="160">
        <v>-744</v>
      </c>
      <c r="EX20" s="160">
        <v>9</v>
      </c>
      <c r="EY20" s="160">
        <v>24</v>
      </c>
      <c r="EZ20" s="116">
        <v>151</v>
      </c>
      <c r="FA20" s="116">
        <v>372</v>
      </c>
      <c r="FB20" s="116">
        <v>434</v>
      </c>
      <c r="FC20" s="160">
        <v>513</v>
      </c>
      <c r="FD20" s="116">
        <v>247</v>
      </c>
      <c r="FE20" s="116">
        <v>-334</v>
      </c>
      <c r="FF20" s="3">
        <v>14180</v>
      </c>
      <c r="FG20" s="3">
        <v>10262</v>
      </c>
      <c r="FH20" s="3">
        <v>3918</v>
      </c>
      <c r="FI20" s="3">
        <v>103</v>
      </c>
      <c r="FJ20" s="125">
        <v>14435</v>
      </c>
      <c r="FK20" s="160">
        <v>9916</v>
      </c>
      <c r="FL20" s="125">
        <v>4519</v>
      </c>
      <c r="FM20" s="116">
        <v>103</v>
      </c>
      <c r="FN20" s="125">
        <v>13689</v>
      </c>
      <c r="FO20" s="116">
        <v>9432</v>
      </c>
      <c r="FP20" s="116">
        <v>4257</v>
      </c>
      <c r="FQ20" s="116">
        <v>-367</v>
      </c>
      <c r="FR20" s="153">
        <v>1131</v>
      </c>
      <c r="FS20" s="153">
        <v>1100</v>
      </c>
      <c r="FT20" s="276">
        <v>997</v>
      </c>
      <c r="FU20" s="3">
        <v>5364</v>
      </c>
      <c r="FV20" s="159">
        <v>5041</v>
      </c>
      <c r="FW20" s="170"/>
      <c r="FZ20" s="155"/>
      <c r="GA20" s="2"/>
      <c r="GD20" s="163"/>
      <c r="GE20" s="2"/>
      <c r="GF20" s="2"/>
    </row>
    <row r="21" spans="1:188" ht="14.5" x14ac:dyDescent="0.35">
      <c r="A21" s="72">
        <v>75</v>
      </c>
      <c r="B21" s="70" t="s">
        <v>19</v>
      </c>
      <c r="C21" s="158">
        <v>20286</v>
      </c>
      <c r="D21" s="171"/>
      <c r="E21" s="128">
        <v>0.95188275474471484</v>
      </c>
      <c r="F21" s="128">
        <v>89.893594941262748</v>
      </c>
      <c r="G21" s="129">
        <v>-7502.4154589371974</v>
      </c>
      <c r="H21" s="216"/>
      <c r="I21" s="172"/>
      <c r="J21" s="218"/>
      <c r="K21" s="128">
        <v>36.641503895656392</v>
      </c>
      <c r="L21" s="129">
        <v>1214.2857142857142</v>
      </c>
      <c r="M21" s="129">
        <v>35.220740607261916</v>
      </c>
      <c r="N21" s="129">
        <v>12583.900226757371</v>
      </c>
      <c r="O21" s="129"/>
      <c r="P21" s="117">
        <v>91213</v>
      </c>
      <c r="Q21" s="161">
        <v>198288</v>
      </c>
      <c r="R21" s="161">
        <v>2247</v>
      </c>
      <c r="S21" s="161">
        <v>-104828</v>
      </c>
      <c r="T21" s="124">
        <v>80921</v>
      </c>
      <c r="U21" s="124">
        <v>44679</v>
      </c>
      <c r="V21" s="136"/>
      <c r="X21" s="116">
        <v>-1970</v>
      </c>
      <c r="Y21" s="116">
        <v>1186</v>
      </c>
      <c r="Z21" s="161">
        <v>19988</v>
      </c>
      <c r="AA21" s="116">
        <v>15882</v>
      </c>
      <c r="AB21" s="116">
        <v>0</v>
      </c>
      <c r="AD21" s="161">
        <v>4106</v>
      </c>
      <c r="AE21" s="117">
        <v>51</v>
      </c>
      <c r="AF21" s="117">
        <v>0</v>
      </c>
      <c r="AG21" s="116">
        <v>0</v>
      </c>
      <c r="AH21" s="116">
        <v>-111</v>
      </c>
      <c r="AI21" s="160">
        <v>4046</v>
      </c>
      <c r="AJ21" s="161">
        <v>23232</v>
      </c>
      <c r="AK21" s="161">
        <v>21321</v>
      </c>
      <c r="AL21" s="150"/>
      <c r="AM21" s="161">
        <v>-1437</v>
      </c>
      <c r="AN21" s="161">
        <v>-21101</v>
      </c>
      <c r="AO21" s="160">
        <v>-7768</v>
      </c>
      <c r="AQ21" s="160"/>
      <c r="AR21" s="117"/>
      <c r="AS21" s="117"/>
      <c r="AT21" s="99">
        <v>21</v>
      </c>
      <c r="AU21" s="130"/>
      <c r="AV21" s="262">
        <v>27</v>
      </c>
      <c r="AW21" s="267">
        <v>20111</v>
      </c>
      <c r="AX21" s="124"/>
      <c r="AY21" s="255">
        <v>0.70912951167728233</v>
      </c>
      <c r="AZ21" s="259">
        <v>78.16189984264075</v>
      </c>
      <c r="BA21" s="160">
        <v>-7927.2040177017552</v>
      </c>
      <c r="BB21" s="130"/>
      <c r="BC21" s="130"/>
      <c r="BD21" s="130"/>
      <c r="BE21" s="128">
        <v>37.223165114889078</v>
      </c>
      <c r="BF21" s="160">
        <v>881.60708070210342</v>
      </c>
      <c r="BG21" s="129">
        <v>31.248853067523047</v>
      </c>
      <c r="BH21" s="131">
        <v>14306.797275123066</v>
      </c>
      <c r="BI21" s="124"/>
      <c r="BJ21" s="117">
        <v>118933</v>
      </c>
      <c r="BK21" s="117">
        <v>232851</v>
      </c>
      <c r="BL21" s="161">
        <v>859</v>
      </c>
      <c r="BM21" s="161">
        <v>-113059</v>
      </c>
      <c r="BN21" s="117">
        <v>85188</v>
      </c>
      <c r="BO21" s="117">
        <v>45626</v>
      </c>
      <c r="BP21" s="136"/>
      <c r="BR21" s="160">
        <v>-1682</v>
      </c>
      <c r="BS21" s="160">
        <v>1227</v>
      </c>
      <c r="BT21" s="161">
        <v>17300</v>
      </c>
      <c r="BU21" s="125">
        <v>17437</v>
      </c>
      <c r="BV21" s="160">
        <v>0</v>
      </c>
      <c r="BX21" s="161">
        <v>-137</v>
      </c>
      <c r="BY21" s="161">
        <v>41</v>
      </c>
      <c r="BZ21" s="160">
        <v>0</v>
      </c>
      <c r="CA21" s="160">
        <v>0</v>
      </c>
      <c r="CB21" s="160">
        <v>-139</v>
      </c>
      <c r="CC21" s="160">
        <v>-235</v>
      </c>
      <c r="CD21" s="160">
        <v>22890</v>
      </c>
      <c r="CE21" s="116">
        <v>18130</v>
      </c>
      <c r="CF21" s="150"/>
      <c r="CG21" s="161">
        <v>21</v>
      </c>
      <c r="CH21" s="160">
        <v>-25109</v>
      </c>
      <c r="CI21" s="159">
        <v>-6940</v>
      </c>
      <c r="CK21" s="124"/>
      <c r="CL21" s="161"/>
      <c r="CM21" s="124"/>
      <c r="CN21" s="265">
        <v>21</v>
      </c>
      <c r="CO21" s="130"/>
      <c r="CP21" s="116">
        <v>31</v>
      </c>
      <c r="CQ21" s="267">
        <v>19877</v>
      </c>
      <c r="CR21" s="124"/>
      <c r="CS21" s="268">
        <v>0.96193026190256359</v>
      </c>
      <c r="CT21" s="269">
        <v>77.472244715711724</v>
      </c>
      <c r="CU21" s="160">
        <v>-8175.8313628817232</v>
      </c>
      <c r="CV21" s="130"/>
      <c r="CW21" s="130"/>
      <c r="CX21" s="130"/>
      <c r="CY21" s="269">
        <v>37.642494651249351</v>
      </c>
      <c r="CZ21" s="125">
        <v>1007.647029229763</v>
      </c>
      <c r="DA21" s="125">
        <v>24.100776701589666</v>
      </c>
      <c r="DB21" s="273">
        <v>15260.552397243044</v>
      </c>
      <c r="DC21" s="124"/>
      <c r="DD21" s="117">
        <v>120573</v>
      </c>
      <c r="DE21" s="117">
        <v>233718</v>
      </c>
      <c r="DF21" s="117">
        <v>354</v>
      </c>
      <c r="DG21" s="117">
        <v>-112791</v>
      </c>
      <c r="DH21" s="117">
        <v>88925</v>
      </c>
      <c r="DI21" s="117">
        <v>54776</v>
      </c>
      <c r="DJ21" s="136"/>
      <c r="DL21" s="160">
        <v>-1513</v>
      </c>
      <c r="DM21" s="160">
        <v>252</v>
      </c>
      <c r="DN21" s="161">
        <v>29649</v>
      </c>
      <c r="DO21" s="116">
        <v>20772</v>
      </c>
      <c r="DP21" s="160">
        <v>0</v>
      </c>
      <c r="DR21" s="161">
        <v>8877</v>
      </c>
      <c r="DS21" s="117">
        <v>38</v>
      </c>
      <c r="DT21" s="116">
        <v>0</v>
      </c>
      <c r="DU21" s="116">
        <v>0</v>
      </c>
      <c r="DV21" s="116">
        <v>-122</v>
      </c>
      <c r="DW21" s="160">
        <v>8793</v>
      </c>
      <c r="DX21" s="160">
        <v>31165</v>
      </c>
      <c r="DY21" s="116">
        <v>28713</v>
      </c>
      <c r="DZ21" s="150"/>
      <c r="EA21" s="117">
        <v>-4148</v>
      </c>
      <c r="EB21" s="116">
        <v>-30886</v>
      </c>
      <c r="EC21" s="159">
        <v>-3253</v>
      </c>
      <c r="EE21" s="125"/>
      <c r="EF21" s="161"/>
      <c r="EG21" s="124"/>
      <c r="EH21" s="253">
        <v>21</v>
      </c>
      <c r="EI21" s="130"/>
      <c r="EJ21" s="125">
        <v>24</v>
      </c>
      <c r="EK21" s="116"/>
      <c r="EL21" s="159"/>
      <c r="EN21" s="116"/>
      <c r="EO21" s="116"/>
      <c r="EP21" s="159"/>
      <c r="EQ21" s="159">
        <v>-33660</v>
      </c>
      <c r="ER21" s="116">
        <v>589</v>
      </c>
      <c r="ES21" s="116">
        <v>3982</v>
      </c>
      <c r="ET21" s="160">
        <v>-27402</v>
      </c>
      <c r="EU21" s="116">
        <v>281</v>
      </c>
      <c r="EV21" s="116">
        <v>2051</v>
      </c>
      <c r="EW21" s="160">
        <v>-35362</v>
      </c>
      <c r="EX21" s="160">
        <v>72</v>
      </c>
      <c r="EY21" s="160">
        <v>3324</v>
      </c>
      <c r="EZ21" s="116">
        <v>22708</v>
      </c>
      <c r="FA21" s="116">
        <v>0</v>
      </c>
      <c r="FB21" s="116">
        <v>27404</v>
      </c>
      <c r="FC21" s="160">
        <v>3000</v>
      </c>
      <c r="FD21" s="116">
        <v>41687</v>
      </c>
      <c r="FE21" s="116">
        <v>0</v>
      </c>
      <c r="FF21" s="3">
        <v>153512</v>
      </c>
      <c r="FG21" s="3">
        <v>131234</v>
      </c>
      <c r="FH21" s="3">
        <v>22278</v>
      </c>
      <c r="FI21" s="3">
        <v>714</v>
      </c>
      <c r="FJ21" s="125">
        <v>158807</v>
      </c>
      <c r="FK21" s="160">
        <v>137706</v>
      </c>
      <c r="FL21" s="125">
        <v>21101</v>
      </c>
      <c r="FM21" s="116">
        <v>1033</v>
      </c>
      <c r="FN21" s="125">
        <v>169472</v>
      </c>
      <c r="FO21" s="116">
        <v>129220</v>
      </c>
      <c r="FP21" s="116">
        <v>40252</v>
      </c>
      <c r="FQ21" s="116">
        <v>-4148</v>
      </c>
      <c r="FR21" s="153">
        <v>43599</v>
      </c>
      <c r="FS21" s="153">
        <v>44206</v>
      </c>
      <c r="FT21" s="276">
        <v>42219</v>
      </c>
      <c r="FU21" s="3">
        <v>26951</v>
      </c>
      <c r="FV21" s="159">
        <v>21220</v>
      </c>
      <c r="FW21" s="170"/>
      <c r="FZ21" s="155"/>
      <c r="GA21" s="2"/>
      <c r="GD21" s="163"/>
      <c r="GE21" s="2"/>
      <c r="GF21" s="2"/>
    </row>
    <row r="22" spans="1:188" ht="14.5" x14ac:dyDescent="0.35">
      <c r="A22" s="72">
        <v>77</v>
      </c>
      <c r="B22" s="70" t="s">
        <v>20</v>
      </c>
      <c r="C22" s="158">
        <v>4939</v>
      </c>
      <c r="D22" s="171"/>
      <c r="E22" s="128">
        <v>1.2424242424242424</v>
      </c>
      <c r="F22" s="128">
        <v>61.262556667265791</v>
      </c>
      <c r="G22" s="129">
        <v>-4508.4025106296822</v>
      </c>
      <c r="H22" s="216"/>
      <c r="I22" s="172"/>
      <c r="J22" s="218"/>
      <c r="K22" s="128">
        <v>37.083715550592274</v>
      </c>
      <c r="L22" s="129">
        <v>1074.1040696497266</v>
      </c>
      <c r="M22" s="129">
        <v>35.329240256896803</v>
      </c>
      <c r="N22" s="129">
        <v>11096.98319497874</v>
      </c>
      <c r="O22" s="129"/>
      <c r="P22" s="117">
        <v>15392</v>
      </c>
      <c r="Q22" s="161">
        <v>48514</v>
      </c>
      <c r="R22" s="161">
        <v>0</v>
      </c>
      <c r="S22" s="161">
        <v>-33122</v>
      </c>
      <c r="T22" s="124">
        <v>14524</v>
      </c>
      <c r="U22" s="124">
        <v>20157</v>
      </c>
      <c r="V22" s="136"/>
      <c r="X22" s="116">
        <v>-16</v>
      </c>
      <c r="Y22" s="116">
        <v>121</v>
      </c>
      <c r="Z22" s="161">
        <v>1664</v>
      </c>
      <c r="AA22" s="116">
        <v>2466</v>
      </c>
      <c r="AB22" s="116">
        <v>12</v>
      </c>
      <c r="AD22" s="161">
        <v>-790</v>
      </c>
      <c r="AE22" s="117">
        <v>0</v>
      </c>
      <c r="AF22" s="117">
        <v>-52</v>
      </c>
      <c r="AG22" s="116">
        <v>0</v>
      </c>
      <c r="AH22" s="116">
        <v>18</v>
      </c>
      <c r="AI22" s="160">
        <v>-824</v>
      </c>
      <c r="AJ22" s="161">
        <v>-1150</v>
      </c>
      <c r="AK22" s="161">
        <v>386</v>
      </c>
      <c r="AL22" s="150"/>
      <c r="AM22" s="161">
        <v>522</v>
      </c>
      <c r="AN22" s="161">
        <v>-1320</v>
      </c>
      <c r="AO22" s="160">
        <v>-2946</v>
      </c>
      <c r="AQ22" s="160"/>
      <c r="AR22" s="117"/>
      <c r="AS22" s="117"/>
      <c r="AT22" s="99">
        <v>22</v>
      </c>
      <c r="AU22" s="130"/>
      <c r="AV22" s="262">
        <v>200</v>
      </c>
      <c r="AW22" s="267">
        <v>4875</v>
      </c>
      <c r="AX22" s="124"/>
      <c r="AY22" s="255">
        <v>0.49531914893617024</v>
      </c>
      <c r="AZ22" s="259">
        <v>65.614705762739433</v>
      </c>
      <c r="BA22" s="160">
        <v>-5518.5641025641025</v>
      </c>
      <c r="BB22" s="130"/>
      <c r="BC22" s="130"/>
      <c r="BD22" s="130"/>
      <c r="BE22" s="128">
        <v>34.646078764725885</v>
      </c>
      <c r="BF22" s="160">
        <v>619.28205128205127</v>
      </c>
      <c r="BG22" s="129">
        <v>35.015551818296892</v>
      </c>
      <c r="BH22" s="131">
        <v>11343.384615384615</v>
      </c>
      <c r="BI22" s="124"/>
      <c r="BJ22" s="117">
        <v>14039</v>
      </c>
      <c r="BK22" s="117">
        <v>48849</v>
      </c>
      <c r="BL22" s="161">
        <v>0</v>
      </c>
      <c r="BM22" s="161">
        <v>-34810</v>
      </c>
      <c r="BN22" s="117">
        <v>15345</v>
      </c>
      <c r="BO22" s="117">
        <v>19794</v>
      </c>
      <c r="BP22" s="136"/>
      <c r="BR22" s="160">
        <v>-16</v>
      </c>
      <c r="BS22" s="160">
        <v>172</v>
      </c>
      <c r="BT22" s="161">
        <v>485</v>
      </c>
      <c r="BU22" s="125">
        <v>2389</v>
      </c>
      <c r="BV22" s="160">
        <v>0</v>
      </c>
      <c r="BX22" s="161">
        <v>-1904</v>
      </c>
      <c r="BY22" s="161">
        <v>0</v>
      </c>
      <c r="BZ22" s="160">
        <v>0</v>
      </c>
      <c r="CA22" s="160">
        <v>0</v>
      </c>
      <c r="CB22" s="160">
        <v>12</v>
      </c>
      <c r="CC22" s="160">
        <v>-1892</v>
      </c>
      <c r="CD22" s="160">
        <v>-2962</v>
      </c>
      <c r="CE22" s="116">
        <v>544</v>
      </c>
      <c r="CF22" s="150"/>
      <c r="CG22" s="161">
        <v>756</v>
      </c>
      <c r="CH22" s="160">
        <v>-1078</v>
      </c>
      <c r="CI22" s="159">
        <v>-4628</v>
      </c>
      <c r="CK22" s="124"/>
      <c r="CL22" s="161"/>
      <c r="CM22" s="124"/>
      <c r="CN22" s="265">
        <v>22</v>
      </c>
      <c r="CO22" s="130"/>
      <c r="CP22" s="116">
        <v>260</v>
      </c>
      <c r="CQ22" s="267">
        <v>4782</v>
      </c>
      <c r="CR22" s="124"/>
      <c r="CS22" s="268">
        <v>6.1118881118881117</v>
      </c>
      <c r="CT22" s="269">
        <v>50.966360620322504</v>
      </c>
      <c r="CU22" s="160">
        <v>-4644.2910915934763</v>
      </c>
      <c r="CV22" s="130"/>
      <c r="CW22" s="130"/>
      <c r="CX22" s="130"/>
      <c r="CY22" s="269">
        <v>42.092253460579485</v>
      </c>
      <c r="CZ22" s="125">
        <v>495.39941447093264</v>
      </c>
      <c r="DA22" s="125">
        <v>16.436066072345035</v>
      </c>
      <c r="DB22" s="273">
        <v>11001.46382266834</v>
      </c>
      <c r="DC22" s="124"/>
      <c r="DD22" s="117">
        <v>14477</v>
      </c>
      <c r="DE22" s="117">
        <v>46862</v>
      </c>
      <c r="DF22" s="117">
        <v>0</v>
      </c>
      <c r="DG22" s="117">
        <v>-32385</v>
      </c>
      <c r="DH22" s="117">
        <v>15358</v>
      </c>
      <c r="DI22" s="117">
        <v>22009</v>
      </c>
      <c r="DJ22" s="136"/>
      <c r="DL22" s="160">
        <v>-13</v>
      </c>
      <c r="DM22" s="160">
        <v>182</v>
      </c>
      <c r="DN22" s="161">
        <v>5151</v>
      </c>
      <c r="DO22" s="116">
        <v>3550</v>
      </c>
      <c r="DP22" s="160">
        <v>645</v>
      </c>
      <c r="DR22" s="161">
        <v>2246</v>
      </c>
      <c r="DS22" s="117">
        <v>-8</v>
      </c>
      <c r="DT22" s="116">
        <v>-2</v>
      </c>
      <c r="DU22" s="116">
        <v>0</v>
      </c>
      <c r="DV22" s="116">
        <v>12</v>
      </c>
      <c r="DW22" s="160">
        <v>2248</v>
      </c>
      <c r="DX22" s="160">
        <v>-714</v>
      </c>
      <c r="DY22" s="116">
        <v>4927</v>
      </c>
      <c r="DZ22" s="150"/>
      <c r="EA22" s="117">
        <v>500</v>
      </c>
      <c r="EB22" s="116">
        <v>-765</v>
      </c>
      <c r="EC22" s="159">
        <v>4702</v>
      </c>
      <c r="EE22" s="125"/>
      <c r="EF22" s="161"/>
      <c r="EG22" s="124"/>
      <c r="EH22" s="253">
        <v>22</v>
      </c>
      <c r="EI22" s="130"/>
      <c r="EJ22" s="125">
        <v>108</v>
      </c>
      <c r="EK22" s="116"/>
      <c r="EL22" s="159"/>
      <c r="EN22" s="116"/>
      <c r="EO22" s="116"/>
      <c r="EP22" s="159"/>
      <c r="EQ22" s="159">
        <v>-4795</v>
      </c>
      <c r="ER22" s="116">
        <v>2</v>
      </c>
      <c r="ES22" s="116">
        <v>1461</v>
      </c>
      <c r="ET22" s="160">
        <v>-5205</v>
      </c>
      <c r="EU22" s="116">
        <v>3</v>
      </c>
      <c r="EV22" s="116">
        <v>30</v>
      </c>
      <c r="EW22" s="160">
        <v>-4878</v>
      </c>
      <c r="EX22" s="160">
        <v>505</v>
      </c>
      <c r="EY22" s="160">
        <v>4148</v>
      </c>
      <c r="EZ22" s="116">
        <v>2211</v>
      </c>
      <c r="FA22" s="116">
        <v>1618</v>
      </c>
      <c r="FB22" s="116">
        <v>7090</v>
      </c>
      <c r="FC22" s="160">
        <v>-2608</v>
      </c>
      <c r="FD22" s="116">
        <v>0</v>
      </c>
      <c r="FE22" s="116">
        <v>-4928</v>
      </c>
      <c r="FF22" s="3">
        <v>21951</v>
      </c>
      <c r="FG22" s="3">
        <v>12196</v>
      </c>
      <c r="FH22" s="3">
        <v>9755</v>
      </c>
      <c r="FI22" s="3">
        <v>2</v>
      </c>
      <c r="FJ22" s="125">
        <v>25356</v>
      </c>
      <c r="FK22" s="160">
        <v>17834</v>
      </c>
      <c r="FL22" s="125">
        <v>7522</v>
      </c>
      <c r="FM22" s="116">
        <v>60</v>
      </c>
      <c r="FN22" s="125">
        <v>19663</v>
      </c>
      <c r="FO22" s="116">
        <v>17043</v>
      </c>
      <c r="FP22" s="116">
        <v>2620</v>
      </c>
      <c r="FQ22" s="116">
        <v>500</v>
      </c>
      <c r="FR22" s="153">
        <v>533</v>
      </c>
      <c r="FS22" s="153">
        <v>461</v>
      </c>
      <c r="FT22" s="276">
        <v>339</v>
      </c>
      <c r="FU22" s="3">
        <v>303</v>
      </c>
      <c r="FV22" s="159">
        <v>16301</v>
      </c>
      <c r="FW22" s="170"/>
      <c r="FZ22" s="155"/>
      <c r="GA22" s="2"/>
      <c r="GD22" s="163"/>
      <c r="GE22" s="2"/>
      <c r="GF22" s="2"/>
    </row>
    <row r="23" spans="1:188" ht="14.5" x14ac:dyDescent="0.35">
      <c r="A23" s="72">
        <v>78</v>
      </c>
      <c r="B23" s="70" t="s">
        <v>21</v>
      </c>
      <c r="C23" s="158">
        <v>8379</v>
      </c>
      <c r="D23" s="171"/>
      <c r="E23" s="128">
        <v>2.0844561288202432</v>
      </c>
      <c r="F23" s="128">
        <v>79.877445027743008</v>
      </c>
      <c r="G23" s="129">
        <v>-8746.7478219357909</v>
      </c>
      <c r="H23" s="216"/>
      <c r="I23" s="172"/>
      <c r="J23" s="218"/>
      <c r="K23" s="128">
        <v>34.568000526427383</v>
      </c>
      <c r="L23" s="129">
        <v>670.60508413891876</v>
      </c>
      <c r="M23" s="129">
        <v>18.150188498911483</v>
      </c>
      <c r="N23" s="129">
        <v>13485.857500895096</v>
      </c>
      <c r="O23" s="129"/>
      <c r="P23" s="117">
        <v>56107</v>
      </c>
      <c r="Q23" s="161">
        <v>94461</v>
      </c>
      <c r="R23" s="161">
        <v>-5</v>
      </c>
      <c r="S23" s="161">
        <v>-38359</v>
      </c>
      <c r="T23" s="124">
        <v>38575</v>
      </c>
      <c r="U23" s="124">
        <v>12372</v>
      </c>
      <c r="V23" s="136"/>
      <c r="X23" s="116">
        <v>-814</v>
      </c>
      <c r="Y23" s="116">
        <v>77</v>
      </c>
      <c r="Z23" s="161">
        <v>11851</v>
      </c>
      <c r="AA23" s="116">
        <v>5783</v>
      </c>
      <c r="AB23" s="116">
        <v>-17</v>
      </c>
      <c r="AD23" s="161">
        <v>6051</v>
      </c>
      <c r="AE23" s="117">
        <v>-5</v>
      </c>
      <c r="AF23" s="117">
        <v>-19</v>
      </c>
      <c r="AG23" s="116">
        <v>-767</v>
      </c>
      <c r="AH23" s="116">
        <v>-84</v>
      </c>
      <c r="AI23" s="160">
        <v>5176</v>
      </c>
      <c r="AJ23" s="161">
        <v>7550</v>
      </c>
      <c r="AK23" s="161">
        <v>10316</v>
      </c>
      <c r="AL23" s="150"/>
      <c r="AM23" s="161">
        <v>-171</v>
      </c>
      <c r="AN23" s="161">
        <v>-5251</v>
      </c>
      <c r="AO23" s="160">
        <v>-593</v>
      </c>
      <c r="AQ23" s="160"/>
      <c r="AR23" s="117"/>
      <c r="AS23" s="117"/>
      <c r="AT23" s="99">
        <v>21.75</v>
      </c>
      <c r="AU23" s="130"/>
      <c r="AV23" s="262">
        <v>5</v>
      </c>
      <c r="AW23" s="267">
        <v>8199</v>
      </c>
      <c r="AX23" s="124"/>
      <c r="AY23" s="255">
        <v>2.3413252784595056</v>
      </c>
      <c r="AZ23" s="259">
        <v>83.631156723159762</v>
      </c>
      <c r="BA23" s="160">
        <v>-9563.6053177216745</v>
      </c>
      <c r="BB23" s="130"/>
      <c r="BC23" s="130"/>
      <c r="BD23" s="130"/>
      <c r="BE23" s="128">
        <v>34.989126002446646</v>
      </c>
      <c r="BF23" s="160">
        <v>720.81961214782291</v>
      </c>
      <c r="BG23" s="129">
        <v>17.121229829116196</v>
      </c>
      <c r="BH23" s="131">
        <v>14610.196365410417</v>
      </c>
      <c r="BI23" s="124"/>
      <c r="BJ23" s="117">
        <v>58826</v>
      </c>
      <c r="BK23" s="117">
        <v>98522</v>
      </c>
      <c r="BL23" s="161">
        <v>6</v>
      </c>
      <c r="BM23" s="161">
        <v>-39690</v>
      </c>
      <c r="BN23" s="117">
        <v>39253</v>
      </c>
      <c r="BO23" s="117">
        <v>12613</v>
      </c>
      <c r="BP23" s="136"/>
      <c r="BR23" s="160">
        <v>-850</v>
      </c>
      <c r="BS23" s="160">
        <v>195</v>
      </c>
      <c r="BT23" s="161">
        <v>11521</v>
      </c>
      <c r="BU23" s="125">
        <v>6330</v>
      </c>
      <c r="BV23" s="160">
        <v>0</v>
      </c>
      <c r="BX23" s="161">
        <v>5191</v>
      </c>
      <c r="BY23" s="161">
        <v>-2</v>
      </c>
      <c r="BZ23" s="160">
        <v>2</v>
      </c>
      <c r="CA23" s="160">
        <v>935</v>
      </c>
      <c r="CB23" s="160">
        <v>-110</v>
      </c>
      <c r="CC23" s="160">
        <v>4146</v>
      </c>
      <c r="CD23" s="160">
        <v>11659</v>
      </c>
      <c r="CE23" s="116">
        <v>10576</v>
      </c>
      <c r="CF23" s="150"/>
      <c r="CG23" s="160">
        <v>-4431</v>
      </c>
      <c r="CH23" s="160">
        <v>-4416</v>
      </c>
      <c r="CI23" s="159">
        <v>-4678</v>
      </c>
      <c r="CK23" s="124"/>
      <c r="CL23" s="161"/>
      <c r="CM23" s="124"/>
      <c r="CN23" s="265">
        <v>21.75</v>
      </c>
      <c r="CO23" s="130"/>
      <c r="CP23" s="116">
        <v>6</v>
      </c>
      <c r="CQ23" s="267">
        <v>8042</v>
      </c>
      <c r="CR23" s="124"/>
      <c r="CS23" s="268">
        <v>2.3844138834315651</v>
      </c>
      <c r="CT23" s="269">
        <v>80.965183372336057</v>
      </c>
      <c r="CU23" s="160">
        <v>-9168.4904252673477</v>
      </c>
      <c r="CV23" s="130"/>
      <c r="CW23" s="130"/>
      <c r="CX23" s="130"/>
      <c r="CY23" s="269">
        <v>39.12460920053595</v>
      </c>
      <c r="CZ23" s="125">
        <v>1229.4205421536931</v>
      </c>
      <c r="DA23" s="125">
        <v>32.029422206443598</v>
      </c>
      <c r="DB23" s="273">
        <v>14010.196468540164</v>
      </c>
      <c r="DC23" s="124"/>
      <c r="DD23" s="117">
        <v>56099</v>
      </c>
      <c r="DE23" s="117">
        <v>97520</v>
      </c>
      <c r="DF23" s="117">
        <v>-2</v>
      </c>
      <c r="DG23" s="117">
        <v>-41423</v>
      </c>
      <c r="DH23" s="117">
        <v>39976</v>
      </c>
      <c r="DI23" s="117">
        <v>15883</v>
      </c>
      <c r="DJ23" s="136"/>
      <c r="DL23" s="160">
        <v>-790</v>
      </c>
      <c r="DM23" s="160">
        <v>110</v>
      </c>
      <c r="DN23" s="161">
        <v>13756</v>
      </c>
      <c r="DO23" s="116">
        <v>6632</v>
      </c>
      <c r="DP23" s="160">
        <v>0</v>
      </c>
      <c r="DR23" s="161">
        <v>7124</v>
      </c>
      <c r="DS23" s="117">
        <v>26</v>
      </c>
      <c r="DT23" s="116">
        <v>-5</v>
      </c>
      <c r="DU23" s="116">
        <v>83</v>
      </c>
      <c r="DV23" s="116">
        <v>-31</v>
      </c>
      <c r="DW23" s="160">
        <v>7031</v>
      </c>
      <c r="DX23" s="160">
        <v>19797</v>
      </c>
      <c r="DY23" s="116">
        <v>11726</v>
      </c>
      <c r="DZ23" s="150"/>
      <c r="EA23" s="116">
        <v>1206</v>
      </c>
      <c r="EB23" s="116">
        <v>-5300</v>
      </c>
      <c r="EC23" s="159">
        <v>4832</v>
      </c>
      <c r="EE23" s="125"/>
      <c r="EF23" s="161"/>
      <c r="EG23" s="124"/>
      <c r="EH23" s="253">
        <v>21.75</v>
      </c>
      <c r="EI23" s="130"/>
      <c r="EJ23" s="125">
        <v>13</v>
      </c>
      <c r="EK23" s="116"/>
      <c r="EL23" s="159"/>
      <c r="EN23" s="116"/>
      <c r="EO23" s="116"/>
      <c r="EP23" s="159"/>
      <c r="EQ23" s="159">
        <v>-12093</v>
      </c>
      <c r="ER23" s="116">
        <v>29</v>
      </c>
      <c r="ES23" s="116">
        <v>1155</v>
      </c>
      <c r="ET23" s="160">
        <v>-15853</v>
      </c>
      <c r="EU23" s="116">
        <v>11</v>
      </c>
      <c r="EV23" s="116">
        <v>588</v>
      </c>
      <c r="EW23" s="160">
        <v>-8943</v>
      </c>
      <c r="EX23" s="160">
        <v>129</v>
      </c>
      <c r="EY23" s="160">
        <v>1920</v>
      </c>
      <c r="EZ23" s="116">
        <v>4512</v>
      </c>
      <c r="FA23" s="116">
        <v>-829</v>
      </c>
      <c r="FB23" s="116">
        <v>9172</v>
      </c>
      <c r="FC23" s="160">
        <v>4744</v>
      </c>
      <c r="FD23" s="116">
        <v>13363</v>
      </c>
      <c r="FE23" s="116">
        <v>-10405</v>
      </c>
      <c r="FF23" s="3">
        <v>71075</v>
      </c>
      <c r="FG23" s="3">
        <v>29422</v>
      </c>
      <c r="FH23" s="3">
        <v>41653</v>
      </c>
      <c r="FI23" s="3">
        <v>410</v>
      </c>
      <c r="FJ23" s="125">
        <v>77806</v>
      </c>
      <c r="FK23" s="160">
        <v>32257</v>
      </c>
      <c r="FL23" s="125">
        <v>45549</v>
      </c>
      <c r="FM23" s="116">
        <v>353</v>
      </c>
      <c r="FN23" s="125">
        <v>76185</v>
      </c>
      <c r="FO23" s="116">
        <v>38400</v>
      </c>
      <c r="FP23" s="116">
        <v>37785</v>
      </c>
      <c r="FQ23" s="116">
        <v>1206</v>
      </c>
      <c r="FR23" s="153">
        <v>285</v>
      </c>
      <c r="FS23" s="153">
        <v>222</v>
      </c>
      <c r="FT23" s="276">
        <v>201</v>
      </c>
      <c r="FU23" s="3">
        <v>8722</v>
      </c>
      <c r="FV23" s="159">
        <v>8630</v>
      </c>
      <c r="FW23" s="170"/>
      <c r="FZ23" s="155"/>
      <c r="GA23" s="2"/>
      <c r="GD23" s="163"/>
      <c r="GE23" s="2"/>
      <c r="GF23" s="2"/>
    </row>
    <row r="24" spans="1:188" ht="14.5" x14ac:dyDescent="0.35">
      <c r="A24" s="72">
        <v>79</v>
      </c>
      <c r="B24" s="70" t="s">
        <v>22</v>
      </c>
      <c r="C24" s="158">
        <v>7018</v>
      </c>
      <c r="D24" s="171"/>
      <c r="E24" s="128">
        <v>0.23556116015132408</v>
      </c>
      <c r="F24" s="128">
        <v>48.314128359725864</v>
      </c>
      <c r="G24" s="129">
        <v>-3707.466514676546</v>
      </c>
      <c r="H24" s="216"/>
      <c r="I24" s="172"/>
      <c r="J24" s="218"/>
      <c r="K24" s="128">
        <v>39.957137161084532</v>
      </c>
      <c r="L24" s="129">
        <v>628.38415502992302</v>
      </c>
      <c r="M24" s="129">
        <v>20.137742080768653</v>
      </c>
      <c r="N24" s="129">
        <v>11389.569677970932</v>
      </c>
      <c r="O24" s="129"/>
      <c r="P24" s="117">
        <v>26472</v>
      </c>
      <c r="Q24" s="161">
        <v>71917</v>
      </c>
      <c r="R24" s="161">
        <v>-34</v>
      </c>
      <c r="S24" s="161">
        <v>-45479</v>
      </c>
      <c r="T24" s="124">
        <v>33349</v>
      </c>
      <c r="U24" s="124">
        <v>12990</v>
      </c>
      <c r="V24" s="136"/>
      <c r="X24" s="116">
        <v>-167</v>
      </c>
      <c r="Y24" s="116">
        <v>70</v>
      </c>
      <c r="Z24" s="161">
        <v>763</v>
      </c>
      <c r="AA24" s="116">
        <v>3338</v>
      </c>
      <c r="AB24" s="116">
        <v>0</v>
      </c>
      <c r="AD24" s="161">
        <v>-2575</v>
      </c>
      <c r="AE24" s="116">
        <v>-6</v>
      </c>
      <c r="AF24" s="116">
        <v>0</v>
      </c>
      <c r="AG24" s="116">
        <v>-8</v>
      </c>
      <c r="AH24" s="116">
        <v>-16</v>
      </c>
      <c r="AI24" s="160">
        <v>-2605</v>
      </c>
      <c r="AJ24" s="161">
        <v>5657</v>
      </c>
      <c r="AK24" s="161">
        <v>808</v>
      </c>
      <c r="AL24" s="150"/>
      <c r="AM24" s="161">
        <v>-261</v>
      </c>
      <c r="AN24" s="161">
        <v>-3794</v>
      </c>
      <c r="AO24" s="160">
        <v>-2396</v>
      </c>
      <c r="AQ24" s="160"/>
      <c r="AR24" s="117"/>
      <c r="AS24" s="117"/>
      <c r="AT24" s="99">
        <v>20.75</v>
      </c>
      <c r="AU24" s="130"/>
      <c r="AV24" s="262">
        <v>274</v>
      </c>
      <c r="AW24" s="267">
        <v>6931</v>
      </c>
      <c r="AX24" s="124"/>
      <c r="AY24" s="255">
        <v>-5.9183270862102984E-4</v>
      </c>
      <c r="AZ24" s="259">
        <v>51.869532786329422</v>
      </c>
      <c r="BA24" s="160">
        <v>-4339.7778098398503</v>
      </c>
      <c r="BB24" s="130"/>
      <c r="BC24" s="130"/>
      <c r="BD24" s="130"/>
      <c r="BE24" s="128">
        <v>34.398861352980575</v>
      </c>
      <c r="BF24" s="160">
        <v>576.10734381763098</v>
      </c>
      <c r="BG24" s="129">
        <v>19.27678378960983</v>
      </c>
      <c r="BH24" s="131">
        <v>12047.612177175011</v>
      </c>
      <c r="BI24" s="124"/>
      <c r="BJ24" s="117">
        <v>27182</v>
      </c>
      <c r="BK24" s="117">
        <v>73761</v>
      </c>
      <c r="BL24" s="161">
        <v>-49</v>
      </c>
      <c r="BM24" s="161">
        <v>-46628</v>
      </c>
      <c r="BN24" s="117">
        <v>34223</v>
      </c>
      <c r="BO24" s="117">
        <v>12330</v>
      </c>
      <c r="BP24" s="136"/>
      <c r="BR24" s="160">
        <v>-130</v>
      </c>
      <c r="BS24" s="160">
        <v>68</v>
      </c>
      <c r="BT24" s="161">
        <v>-137</v>
      </c>
      <c r="BU24" s="125">
        <v>3400</v>
      </c>
      <c r="BV24" s="160">
        <v>0</v>
      </c>
      <c r="BW24" s="117"/>
      <c r="BX24" s="161">
        <v>-3537</v>
      </c>
      <c r="BY24" s="160">
        <v>-12</v>
      </c>
      <c r="BZ24" s="161">
        <v>0</v>
      </c>
      <c r="CA24" s="160">
        <v>14</v>
      </c>
      <c r="CB24" s="160">
        <v>-23</v>
      </c>
      <c r="CC24" s="160">
        <v>-3586</v>
      </c>
      <c r="CD24" s="160">
        <v>2086</v>
      </c>
      <c r="CE24" s="116">
        <v>-264</v>
      </c>
      <c r="CF24" s="150"/>
      <c r="CG24" s="161">
        <v>574</v>
      </c>
      <c r="CH24" s="160">
        <v>-4935</v>
      </c>
      <c r="CI24" s="159">
        <v>-4119</v>
      </c>
      <c r="CK24" s="124"/>
      <c r="CL24" s="161"/>
      <c r="CM24" s="124"/>
      <c r="CN24" s="265">
        <v>21.5</v>
      </c>
      <c r="CO24" s="130"/>
      <c r="CP24" s="116">
        <v>277</v>
      </c>
      <c r="CQ24" s="267">
        <v>6869</v>
      </c>
      <c r="CR24" s="124"/>
      <c r="CS24" s="268">
        <v>1.1067901234567901</v>
      </c>
      <c r="CT24" s="269">
        <v>47.69570066923545</v>
      </c>
      <c r="CU24" s="160">
        <v>-4180.8123453195522</v>
      </c>
      <c r="CV24" s="130"/>
      <c r="CW24" s="130"/>
      <c r="CX24" s="130"/>
      <c r="CY24" s="269">
        <v>36.268609961584751</v>
      </c>
      <c r="CZ24" s="125">
        <v>589.16872907264519</v>
      </c>
      <c r="DA24" s="125">
        <v>17.591251741672721</v>
      </c>
      <c r="DB24" s="273">
        <v>12224.632406463823</v>
      </c>
      <c r="DC24" s="124"/>
      <c r="DD24" s="117">
        <v>28433</v>
      </c>
      <c r="DE24" s="117">
        <v>73592</v>
      </c>
      <c r="DF24" s="117">
        <v>5</v>
      </c>
      <c r="DG24" s="117">
        <v>-45154</v>
      </c>
      <c r="DH24" s="117">
        <v>34754</v>
      </c>
      <c r="DI24" s="117">
        <v>15709</v>
      </c>
      <c r="DJ24" s="136"/>
      <c r="DL24" s="160">
        <v>-106</v>
      </c>
      <c r="DM24" s="160">
        <v>70</v>
      </c>
      <c r="DN24" s="161">
        <v>5273</v>
      </c>
      <c r="DO24" s="116">
        <v>3753</v>
      </c>
      <c r="DP24" s="160">
        <v>67</v>
      </c>
      <c r="DQ24" s="117"/>
      <c r="DR24" s="161">
        <v>1587</v>
      </c>
      <c r="DS24" s="116">
        <v>-8</v>
      </c>
      <c r="DT24" s="117">
        <v>0</v>
      </c>
      <c r="DU24" s="116">
        <v>13</v>
      </c>
      <c r="DV24" s="116">
        <v>-22</v>
      </c>
      <c r="DW24" s="160">
        <v>1544</v>
      </c>
      <c r="DX24" s="160">
        <v>3547</v>
      </c>
      <c r="DY24" s="116">
        <v>5158</v>
      </c>
      <c r="DZ24" s="150"/>
      <c r="EA24" s="117">
        <v>-690</v>
      </c>
      <c r="EB24" s="116">
        <v>-4754</v>
      </c>
      <c r="EC24" s="159">
        <v>1346</v>
      </c>
      <c r="EE24" s="125"/>
      <c r="EF24" s="161"/>
      <c r="EG24" s="124"/>
      <c r="EH24" s="253">
        <v>21.5</v>
      </c>
      <c r="EI24" s="130"/>
      <c r="EJ24" s="125">
        <v>232</v>
      </c>
      <c r="EK24" s="116"/>
      <c r="EL24" s="159"/>
      <c r="EN24" s="116"/>
      <c r="EO24" s="116"/>
      <c r="EP24" s="159"/>
      <c r="EQ24" s="159">
        <v>-4028</v>
      </c>
      <c r="ER24" s="116">
        <v>71</v>
      </c>
      <c r="ES24" s="116">
        <v>753</v>
      </c>
      <c r="ET24" s="160">
        <v>-4655</v>
      </c>
      <c r="EU24" s="116">
        <v>21</v>
      </c>
      <c r="EV24" s="116">
        <v>779</v>
      </c>
      <c r="EW24" s="160">
        <v>-5505</v>
      </c>
      <c r="EX24" s="160">
        <v>84</v>
      </c>
      <c r="EY24" s="160">
        <v>1609</v>
      </c>
      <c r="EZ24" s="116">
        <v>6584</v>
      </c>
      <c r="FA24" s="116">
        <v>-1500</v>
      </c>
      <c r="FB24" s="116">
        <v>4355</v>
      </c>
      <c r="FC24" s="160">
        <v>4000</v>
      </c>
      <c r="FD24" s="116">
        <v>6306</v>
      </c>
      <c r="FE24" s="116">
        <v>-3508</v>
      </c>
      <c r="FF24" s="3">
        <v>24797</v>
      </c>
      <c r="FG24" s="3">
        <v>19146</v>
      </c>
      <c r="FH24" s="3">
        <v>5651</v>
      </c>
      <c r="FI24" s="3">
        <v>0</v>
      </c>
      <c r="FJ24" s="125">
        <v>28217</v>
      </c>
      <c r="FK24" s="160">
        <v>18527</v>
      </c>
      <c r="FL24" s="125">
        <v>9690</v>
      </c>
      <c r="FM24" s="116">
        <v>0</v>
      </c>
      <c r="FN24" s="125">
        <v>26248</v>
      </c>
      <c r="FO24" s="116">
        <v>20038</v>
      </c>
      <c r="FP24" s="116">
        <v>6210</v>
      </c>
      <c r="FQ24" s="116">
        <v>-690</v>
      </c>
      <c r="FR24" s="153">
        <v>629</v>
      </c>
      <c r="FS24" s="153">
        <v>477</v>
      </c>
      <c r="FT24" s="276">
        <v>450</v>
      </c>
      <c r="FU24" s="3">
        <v>1795</v>
      </c>
      <c r="FV24" s="159">
        <v>1123</v>
      </c>
      <c r="FW24" s="170"/>
      <c r="FZ24" s="155"/>
      <c r="GA24" s="2"/>
      <c r="GD24" s="163"/>
      <c r="GE24" s="2"/>
      <c r="GF24" s="2"/>
    </row>
    <row r="25" spans="1:188" ht="14.5" x14ac:dyDescent="0.35">
      <c r="A25" s="72">
        <v>81</v>
      </c>
      <c r="B25" s="70" t="s">
        <v>23</v>
      </c>
      <c r="C25" s="158">
        <v>2780</v>
      </c>
      <c r="D25" s="171"/>
      <c r="E25" s="128">
        <v>0.55200945626477538</v>
      </c>
      <c r="F25" s="128">
        <v>87.225342270762695</v>
      </c>
      <c r="G25" s="129">
        <v>-10361.870503597123</v>
      </c>
      <c r="H25" s="216"/>
      <c r="I25" s="172"/>
      <c r="J25" s="218"/>
      <c r="K25" s="128">
        <v>18.130743227158025</v>
      </c>
      <c r="L25" s="129">
        <v>840.28776978417261</v>
      </c>
      <c r="M25" s="129">
        <v>20.82657547630679</v>
      </c>
      <c r="N25" s="129">
        <v>14726.618705035971</v>
      </c>
      <c r="O25" s="129"/>
      <c r="P25" s="117">
        <v>19955</v>
      </c>
      <c r="Q25" s="161">
        <v>37292</v>
      </c>
      <c r="R25" s="161">
        <v>0</v>
      </c>
      <c r="S25" s="161">
        <v>-17337</v>
      </c>
      <c r="T25" s="124">
        <v>9796</v>
      </c>
      <c r="U25" s="124">
        <v>8888</v>
      </c>
      <c r="V25" s="136"/>
      <c r="X25" s="116">
        <v>-239</v>
      </c>
      <c r="Y25" s="116">
        <v>40</v>
      </c>
      <c r="Z25" s="161">
        <v>1148</v>
      </c>
      <c r="AA25" s="116">
        <v>1861</v>
      </c>
      <c r="AB25" s="116">
        <v>124</v>
      </c>
      <c r="AD25" s="161">
        <v>-589</v>
      </c>
      <c r="AE25" s="116">
        <v>-36</v>
      </c>
      <c r="AF25" s="116">
        <v>18</v>
      </c>
      <c r="AG25" s="116">
        <v>0</v>
      </c>
      <c r="AH25" s="116">
        <v>0</v>
      </c>
      <c r="AI25" s="160">
        <v>-607</v>
      </c>
      <c r="AJ25" s="161">
        <v>1209</v>
      </c>
      <c r="AK25" s="161">
        <v>1359</v>
      </c>
      <c r="AL25" s="150"/>
      <c r="AM25" s="161">
        <v>473</v>
      </c>
      <c r="AN25" s="161">
        <v>-2285</v>
      </c>
      <c r="AO25" s="160">
        <v>351</v>
      </c>
      <c r="AQ25" s="160"/>
      <c r="AR25" s="117"/>
      <c r="AS25" s="117"/>
      <c r="AT25" s="99">
        <v>21.5</v>
      </c>
      <c r="AU25" s="130"/>
      <c r="AV25" s="262">
        <v>178</v>
      </c>
      <c r="AW25" s="267">
        <v>2697</v>
      </c>
      <c r="AX25" s="124"/>
      <c r="AY25" s="255">
        <v>0.15140156453715775</v>
      </c>
      <c r="AZ25" s="259">
        <v>81.472825945833662</v>
      </c>
      <c r="BA25" s="160">
        <v>-9702.6325546903954</v>
      </c>
      <c r="BB25" s="130"/>
      <c r="BC25" s="130"/>
      <c r="BD25" s="130"/>
      <c r="BE25" s="128">
        <v>16.82042704440321</v>
      </c>
      <c r="BF25" s="160">
        <v>918.79866518353731</v>
      </c>
      <c r="BG25" s="129">
        <v>18.970319939482934</v>
      </c>
      <c r="BH25" s="131">
        <v>16665.183537263627</v>
      </c>
      <c r="BI25" s="124"/>
      <c r="BJ25" s="117">
        <v>20524</v>
      </c>
      <c r="BK25" s="117">
        <v>37663</v>
      </c>
      <c r="BL25" s="161">
        <v>6</v>
      </c>
      <c r="BM25" s="161">
        <v>-17133</v>
      </c>
      <c r="BN25" s="117">
        <v>9355</v>
      </c>
      <c r="BO25" s="117">
        <v>8632</v>
      </c>
      <c r="BP25" s="136"/>
      <c r="BR25" s="160">
        <v>-219</v>
      </c>
      <c r="BS25" s="160">
        <v>58</v>
      </c>
      <c r="BT25" s="161">
        <v>693</v>
      </c>
      <c r="BU25" s="125">
        <v>1929</v>
      </c>
      <c r="BV25" s="160">
        <v>-21</v>
      </c>
      <c r="BX25" s="161">
        <v>-1257</v>
      </c>
      <c r="BY25" s="160">
        <v>-38</v>
      </c>
      <c r="BZ25" s="160">
        <v>9</v>
      </c>
      <c r="CA25" s="160">
        <v>0</v>
      </c>
      <c r="CB25" s="160">
        <v>0</v>
      </c>
      <c r="CC25" s="160">
        <v>-1286</v>
      </c>
      <c r="CD25" s="160">
        <v>-52</v>
      </c>
      <c r="CE25" s="116">
        <v>605</v>
      </c>
      <c r="CF25" s="150"/>
      <c r="CG25" s="161">
        <v>-169</v>
      </c>
      <c r="CH25" s="160">
        <v>-5900</v>
      </c>
      <c r="CI25" s="159">
        <v>3418</v>
      </c>
      <c r="CK25" s="124"/>
      <c r="CL25" s="161"/>
      <c r="CM25" s="124"/>
      <c r="CN25" s="265">
        <v>21.5</v>
      </c>
      <c r="CO25" s="130"/>
      <c r="CP25" s="116">
        <v>223</v>
      </c>
      <c r="CQ25" s="267">
        <v>2655</v>
      </c>
      <c r="CR25" s="124"/>
      <c r="CS25" s="268">
        <v>2.2014634146341465</v>
      </c>
      <c r="CT25" s="269">
        <v>76.26798252074434</v>
      </c>
      <c r="CU25" s="160">
        <v>-9025.9887005649707</v>
      </c>
      <c r="CV25" s="130"/>
      <c r="CW25" s="130"/>
      <c r="CX25" s="130"/>
      <c r="CY25" s="269">
        <v>21.132859431317581</v>
      </c>
      <c r="CZ25" s="125">
        <v>1722.7871939736347</v>
      </c>
      <c r="DA25" s="125">
        <v>40.676103693597113</v>
      </c>
      <c r="DB25" s="273">
        <v>15459.133709981166</v>
      </c>
      <c r="DC25" s="124"/>
      <c r="DD25" s="117">
        <v>19937</v>
      </c>
      <c r="DE25" s="117">
        <v>36440</v>
      </c>
      <c r="DF25" s="117">
        <v>1</v>
      </c>
      <c r="DG25" s="117">
        <v>-16502</v>
      </c>
      <c r="DH25" s="117">
        <v>10263</v>
      </c>
      <c r="DI25" s="117">
        <v>10534</v>
      </c>
      <c r="DJ25" s="136"/>
      <c r="DL25" s="160">
        <v>-163</v>
      </c>
      <c r="DM25" s="160">
        <v>199</v>
      </c>
      <c r="DN25" s="161">
        <v>4331</v>
      </c>
      <c r="DO25" s="116">
        <v>2354</v>
      </c>
      <c r="DP25" s="160">
        <v>60</v>
      </c>
      <c r="DR25" s="161">
        <v>2037</v>
      </c>
      <c r="DS25" s="116">
        <v>-38</v>
      </c>
      <c r="DT25" s="116">
        <v>105</v>
      </c>
      <c r="DU25" s="116">
        <v>0</v>
      </c>
      <c r="DV25" s="116">
        <v>0</v>
      </c>
      <c r="DW25" s="160">
        <v>2104</v>
      </c>
      <c r="DX25" s="160">
        <v>1958</v>
      </c>
      <c r="DY25" s="116">
        <v>4333</v>
      </c>
      <c r="DZ25" s="150"/>
      <c r="EA25" s="117">
        <v>200</v>
      </c>
      <c r="EB25" s="116">
        <v>-1868</v>
      </c>
      <c r="EC25" s="159">
        <v>1903</v>
      </c>
      <c r="EE25" s="125"/>
      <c r="EF25" s="161"/>
      <c r="EG25" s="124"/>
      <c r="EH25" s="253">
        <v>21.5</v>
      </c>
      <c r="EI25" s="130"/>
      <c r="EJ25" s="125">
        <v>16</v>
      </c>
      <c r="EK25" s="116"/>
      <c r="EL25" s="159"/>
      <c r="EN25" s="116"/>
      <c r="EO25" s="116"/>
      <c r="EP25" s="159"/>
      <c r="EQ25" s="159">
        <v>-1103</v>
      </c>
      <c r="ER25" s="116">
        <v>19</v>
      </c>
      <c r="ES25" s="116">
        <v>76</v>
      </c>
      <c r="ET25" s="160">
        <v>-1116</v>
      </c>
      <c r="EU25" s="116">
        <v>71</v>
      </c>
      <c r="EV25" s="116">
        <v>3858</v>
      </c>
      <c r="EW25" s="160">
        <v>-2535</v>
      </c>
      <c r="EX25" s="160">
        <v>17</v>
      </c>
      <c r="EY25" s="160">
        <v>88</v>
      </c>
      <c r="EZ25" s="116">
        <v>25</v>
      </c>
      <c r="FA25" s="116">
        <v>564</v>
      </c>
      <c r="FB25" s="116">
        <v>1647</v>
      </c>
      <c r="FC25" s="160">
        <v>2021</v>
      </c>
      <c r="FD25" s="116">
        <v>2325</v>
      </c>
      <c r="FE25" s="116">
        <v>-1102</v>
      </c>
      <c r="FF25" s="3">
        <v>28289</v>
      </c>
      <c r="FG25" s="3">
        <v>24649</v>
      </c>
      <c r="FH25" s="3">
        <v>3640</v>
      </c>
      <c r="FI25" s="3">
        <v>57</v>
      </c>
      <c r="FJ25" s="125">
        <v>26820</v>
      </c>
      <c r="FK25" s="160">
        <v>21248</v>
      </c>
      <c r="FL25" s="125">
        <v>5572</v>
      </c>
      <c r="FM25" s="116">
        <v>53</v>
      </c>
      <c r="FN25" s="125">
        <v>26176</v>
      </c>
      <c r="FO25" s="116">
        <v>21649</v>
      </c>
      <c r="FP25" s="116">
        <v>4527</v>
      </c>
      <c r="FQ25" s="116">
        <v>200</v>
      </c>
      <c r="FR25" s="153">
        <v>397</v>
      </c>
      <c r="FS25" s="153">
        <v>274</v>
      </c>
      <c r="FT25" s="276">
        <v>168</v>
      </c>
      <c r="FU25" s="3">
        <v>27583</v>
      </c>
      <c r="FV25" s="159">
        <v>782</v>
      </c>
      <c r="FW25" s="170"/>
      <c r="FZ25" s="155"/>
      <c r="GA25" s="2"/>
      <c r="GD25" s="163"/>
      <c r="GE25" s="2"/>
      <c r="GF25" s="2"/>
    </row>
    <row r="26" spans="1:188" ht="14.5" x14ac:dyDescent="0.35">
      <c r="A26" s="72">
        <v>82</v>
      </c>
      <c r="B26" s="70" t="s">
        <v>24</v>
      </c>
      <c r="C26" s="158">
        <v>9475</v>
      </c>
      <c r="D26" s="171"/>
      <c r="E26" s="128">
        <v>0.43312007141794379</v>
      </c>
      <c r="F26" s="128">
        <v>73.903461621156737</v>
      </c>
      <c r="G26" s="129">
        <v>-5182.2691292875988</v>
      </c>
      <c r="H26" s="216"/>
      <c r="I26" s="172"/>
      <c r="J26" s="218"/>
      <c r="K26" s="128">
        <v>32.690556088207096</v>
      </c>
      <c r="L26" s="129">
        <v>293.82585751978888</v>
      </c>
      <c r="M26" s="129">
        <v>11.902592154428216</v>
      </c>
      <c r="N26" s="129">
        <v>9010.3430079155678</v>
      </c>
      <c r="O26" s="129"/>
      <c r="P26" s="117">
        <v>24931</v>
      </c>
      <c r="Q26" s="161">
        <v>71771</v>
      </c>
      <c r="R26" s="161">
        <v>0</v>
      </c>
      <c r="S26" s="161">
        <v>-46840</v>
      </c>
      <c r="T26" s="124">
        <v>37627</v>
      </c>
      <c r="U26" s="124">
        <v>11858</v>
      </c>
      <c r="V26" s="136"/>
      <c r="X26" s="116">
        <v>-21</v>
      </c>
      <c r="Y26" s="116">
        <v>60</v>
      </c>
      <c r="Z26" s="161">
        <v>2684</v>
      </c>
      <c r="AA26" s="116">
        <v>3394</v>
      </c>
      <c r="AB26" s="116">
        <v>53</v>
      </c>
      <c r="AD26" s="161">
        <v>-657</v>
      </c>
      <c r="AE26" s="116">
        <v>0</v>
      </c>
      <c r="AF26" s="116">
        <v>0</v>
      </c>
      <c r="AG26" s="116">
        <v>0</v>
      </c>
      <c r="AH26" s="116">
        <v>7</v>
      </c>
      <c r="AI26" s="160">
        <v>-650</v>
      </c>
      <c r="AJ26" s="161">
        <v>7749</v>
      </c>
      <c r="AK26" s="161">
        <v>2708</v>
      </c>
      <c r="AL26" s="150"/>
      <c r="AM26" s="161">
        <v>-510</v>
      </c>
      <c r="AN26" s="161">
        <v>-6494</v>
      </c>
      <c r="AO26" s="160">
        <v>-1588</v>
      </c>
      <c r="AQ26" s="160"/>
      <c r="AR26" s="117"/>
      <c r="AS26" s="117"/>
      <c r="AT26" s="99">
        <v>20.5</v>
      </c>
      <c r="AU26" s="130"/>
      <c r="AV26" s="262">
        <v>225</v>
      </c>
      <c r="AW26" s="267">
        <v>9422</v>
      </c>
      <c r="AX26" s="124"/>
      <c r="AY26" s="255">
        <v>0.34824486301369861</v>
      </c>
      <c r="AZ26" s="259">
        <v>81.399694011562573</v>
      </c>
      <c r="BA26" s="160">
        <v>-5737.4230524304821</v>
      </c>
      <c r="BB26" s="130"/>
      <c r="BC26" s="130"/>
      <c r="BD26" s="130"/>
      <c r="BE26" s="128">
        <v>29.098527141679916</v>
      </c>
      <c r="BF26" s="160">
        <v>252.06962428359159</v>
      </c>
      <c r="BG26" s="129">
        <v>12.139921628596005</v>
      </c>
      <c r="BH26" s="131">
        <v>8883.8887709615792</v>
      </c>
      <c r="BI26" s="124"/>
      <c r="BJ26" s="117">
        <v>24788</v>
      </c>
      <c r="BK26" s="117">
        <v>72510</v>
      </c>
      <c r="BL26" s="161">
        <v>0</v>
      </c>
      <c r="BM26" s="161">
        <v>-47722</v>
      </c>
      <c r="BN26" s="117">
        <v>36843</v>
      </c>
      <c r="BO26" s="117">
        <v>12228</v>
      </c>
      <c r="BP26" s="136"/>
      <c r="BR26" s="160">
        <v>-11</v>
      </c>
      <c r="BS26" s="160">
        <v>76</v>
      </c>
      <c r="BT26" s="161">
        <v>1414</v>
      </c>
      <c r="BU26" s="125">
        <v>3746</v>
      </c>
      <c r="BV26" s="160">
        <v>84</v>
      </c>
      <c r="BX26" s="161">
        <v>-2248</v>
      </c>
      <c r="BY26" s="160">
        <v>-1</v>
      </c>
      <c r="BZ26" s="160">
        <v>3</v>
      </c>
      <c r="CA26" s="160">
        <v>1</v>
      </c>
      <c r="CB26" s="160">
        <v>37</v>
      </c>
      <c r="CC26" s="160">
        <v>-2210</v>
      </c>
      <c r="CD26" s="160">
        <v>5538</v>
      </c>
      <c r="CE26" s="116">
        <v>1113</v>
      </c>
      <c r="CF26" s="150"/>
      <c r="CG26" s="161">
        <v>-579</v>
      </c>
      <c r="CH26" s="160">
        <v>-4459</v>
      </c>
      <c r="CI26" s="159">
        <v>-5105</v>
      </c>
      <c r="CK26" s="124"/>
      <c r="CL26" s="161"/>
      <c r="CM26" s="124"/>
      <c r="CN26" s="265">
        <v>20.5</v>
      </c>
      <c r="CO26" s="130"/>
      <c r="CP26" s="116">
        <v>251</v>
      </c>
      <c r="CQ26" s="267">
        <v>9389</v>
      </c>
      <c r="CR26" s="124"/>
      <c r="CS26" s="268">
        <v>1.3200474898236092</v>
      </c>
      <c r="CT26" s="269">
        <v>70.151899357443554</v>
      </c>
      <c r="CU26" s="160">
        <v>-5396.5278517413999</v>
      </c>
      <c r="CV26" s="130"/>
      <c r="CW26" s="130"/>
      <c r="CX26" s="130"/>
      <c r="CY26" s="269">
        <v>33.037224062449333</v>
      </c>
      <c r="CZ26" s="125">
        <v>360.4217701565662</v>
      </c>
      <c r="DA26" s="125">
        <v>14.601380745224136</v>
      </c>
      <c r="DB26" s="273">
        <v>9009.6921929917989</v>
      </c>
      <c r="DC26" s="124"/>
      <c r="DD26" s="117">
        <v>25209</v>
      </c>
      <c r="DE26" s="117">
        <v>73629</v>
      </c>
      <c r="DF26" s="117">
        <v>0</v>
      </c>
      <c r="DG26" s="117">
        <v>-48420</v>
      </c>
      <c r="DH26" s="117">
        <v>39227</v>
      </c>
      <c r="DI26" s="117">
        <v>16802</v>
      </c>
      <c r="DJ26" s="136"/>
      <c r="DL26" s="160">
        <v>-17</v>
      </c>
      <c r="DM26" s="160">
        <v>-35</v>
      </c>
      <c r="DN26" s="161">
        <v>7557</v>
      </c>
      <c r="DO26" s="116">
        <v>4056</v>
      </c>
      <c r="DP26" s="160">
        <v>0</v>
      </c>
      <c r="DR26" s="161">
        <v>3501</v>
      </c>
      <c r="DS26" s="116">
        <v>0</v>
      </c>
      <c r="DT26" s="116">
        <v>2</v>
      </c>
      <c r="DU26" s="116">
        <v>97</v>
      </c>
      <c r="DV26" s="116">
        <v>49</v>
      </c>
      <c r="DW26" s="160">
        <v>3455</v>
      </c>
      <c r="DX26" s="160">
        <v>8993</v>
      </c>
      <c r="DY26" s="116">
        <v>7268</v>
      </c>
      <c r="DZ26" s="150"/>
      <c r="EA26" s="117">
        <v>751</v>
      </c>
      <c r="EB26" s="116">
        <v>-5670</v>
      </c>
      <c r="EC26" s="159">
        <v>3277</v>
      </c>
      <c r="EE26" s="125"/>
      <c r="EF26" s="161"/>
      <c r="EG26" s="124"/>
      <c r="EH26" s="253">
        <v>20.75</v>
      </c>
      <c r="EI26" s="130"/>
      <c r="EJ26" s="125">
        <v>220</v>
      </c>
      <c r="EK26" s="116"/>
      <c r="EL26" s="159"/>
      <c r="EN26" s="116"/>
      <c r="EO26" s="116"/>
      <c r="EP26" s="159"/>
      <c r="EQ26" s="159">
        <v>-6845</v>
      </c>
      <c r="ER26" s="116">
        <v>0</v>
      </c>
      <c r="ES26" s="116">
        <v>2549</v>
      </c>
      <c r="ET26" s="160">
        <v>-6497</v>
      </c>
      <c r="EU26" s="116">
        <v>34</v>
      </c>
      <c r="EV26" s="116">
        <v>245</v>
      </c>
      <c r="EW26" s="160">
        <v>-4949</v>
      </c>
      <c r="EX26" s="160">
        <v>117</v>
      </c>
      <c r="EY26" s="160">
        <v>841</v>
      </c>
      <c r="EZ26" s="116">
        <v>2828</v>
      </c>
      <c r="FA26" s="116">
        <v>4293</v>
      </c>
      <c r="FB26" s="116">
        <v>8367</v>
      </c>
      <c r="FC26" s="160">
        <v>1468</v>
      </c>
      <c r="FD26" s="116">
        <v>9469</v>
      </c>
      <c r="FE26" s="116">
        <v>-7157</v>
      </c>
      <c r="FF26" s="3">
        <v>45063</v>
      </c>
      <c r="FG26" s="3">
        <v>31978</v>
      </c>
      <c r="FH26" s="3">
        <v>13085</v>
      </c>
      <c r="FI26" s="3">
        <v>4142</v>
      </c>
      <c r="FJ26" s="125">
        <v>50441</v>
      </c>
      <c r="FK26" s="160">
        <v>35429</v>
      </c>
      <c r="FL26" s="125">
        <v>15012</v>
      </c>
      <c r="FM26" s="116">
        <v>4137</v>
      </c>
      <c r="FN26" s="125">
        <v>47081</v>
      </c>
      <c r="FO26" s="116">
        <v>38684</v>
      </c>
      <c r="FP26" s="116">
        <v>8397</v>
      </c>
      <c r="FQ26" s="116">
        <v>751</v>
      </c>
      <c r="FR26" s="153">
        <v>4571</v>
      </c>
      <c r="FS26" s="153">
        <v>8241</v>
      </c>
      <c r="FT26" s="276">
        <v>7794</v>
      </c>
      <c r="FU26" s="3">
        <v>2804</v>
      </c>
      <c r="FV26" s="159">
        <v>3432</v>
      </c>
      <c r="FW26" s="170"/>
      <c r="FZ26" s="155"/>
      <c r="GA26" s="2"/>
      <c r="GD26" s="163"/>
      <c r="GE26" s="2"/>
      <c r="GF26" s="2"/>
    </row>
    <row r="27" spans="1:188" ht="14.5" x14ac:dyDescent="0.35">
      <c r="A27" s="72">
        <v>86</v>
      </c>
      <c r="B27" s="70" t="s">
        <v>25</v>
      </c>
      <c r="C27" s="158">
        <v>8417</v>
      </c>
      <c r="D27" s="171"/>
      <c r="E27" s="128">
        <v>0.38607798904286172</v>
      </c>
      <c r="F27" s="128">
        <v>46.503162931325498</v>
      </c>
      <c r="G27" s="129">
        <v>-3211.1203516692412</v>
      </c>
      <c r="H27" s="216"/>
      <c r="I27" s="172"/>
      <c r="J27" s="218"/>
      <c r="K27" s="128">
        <v>38.44146512111643</v>
      </c>
      <c r="L27" s="129">
        <v>307.9482000712843</v>
      </c>
      <c r="M27" s="129">
        <v>12.744907856450048</v>
      </c>
      <c r="N27" s="129">
        <v>8819.2942853748355</v>
      </c>
      <c r="O27" s="129"/>
      <c r="P27" s="117">
        <v>23068</v>
      </c>
      <c r="Q27" s="161">
        <v>65586</v>
      </c>
      <c r="R27" s="161">
        <v>3</v>
      </c>
      <c r="S27" s="161">
        <v>-42515</v>
      </c>
      <c r="T27" s="124">
        <v>31690</v>
      </c>
      <c r="U27" s="124">
        <v>13375</v>
      </c>
      <c r="V27" s="136"/>
      <c r="X27" s="116">
        <v>-249</v>
      </c>
      <c r="Y27" s="116">
        <v>45</v>
      </c>
      <c r="Z27" s="161">
        <v>2346</v>
      </c>
      <c r="AA27" s="116">
        <v>3128</v>
      </c>
      <c r="AB27" s="116">
        <v>0</v>
      </c>
      <c r="AD27" s="161">
        <v>-782</v>
      </c>
      <c r="AE27" s="116">
        <v>-1</v>
      </c>
      <c r="AF27" s="116">
        <v>1</v>
      </c>
      <c r="AG27" s="116">
        <v>-13</v>
      </c>
      <c r="AH27" s="116">
        <v>0</v>
      </c>
      <c r="AI27" s="160">
        <v>-795</v>
      </c>
      <c r="AJ27" s="161">
        <v>5416</v>
      </c>
      <c r="AK27" s="161">
        <v>2582</v>
      </c>
      <c r="AL27" s="150"/>
      <c r="AM27" s="161">
        <v>-193</v>
      </c>
      <c r="AN27" s="161">
        <v>-5946</v>
      </c>
      <c r="AO27" s="160">
        <v>583</v>
      </c>
      <c r="AQ27" s="160"/>
      <c r="AR27" s="117"/>
      <c r="AS27" s="117"/>
      <c r="AT27" s="99">
        <v>21.5</v>
      </c>
      <c r="AU27" s="130"/>
      <c r="AV27" s="262">
        <v>238</v>
      </c>
      <c r="AW27" s="267">
        <v>8260</v>
      </c>
      <c r="AX27" s="124"/>
      <c r="AY27" s="255">
        <v>0.63834855101230648</v>
      </c>
      <c r="AZ27" s="259">
        <v>49.486756881795053</v>
      </c>
      <c r="BA27" s="160">
        <v>-3319.8547215496369</v>
      </c>
      <c r="BB27" s="130"/>
      <c r="BC27" s="130"/>
      <c r="BD27" s="130"/>
      <c r="BE27" s="128">
        <v>36.285046305525853</v>
      </c>
      <c r="BF27" s="160">
        <v>586.56174334140428</v>
      </c>
      <c r="BG27" s="129">
        <v>12.743534482758621</v>
      </c>
      <c r="BH27" s="131">
        <v>8987.893462469734</v>
      </c>
      <c r="BI27" s="124"/>
      <c r="BJ27" s="117">
        <v>23063</v>
      </c>
      <c r="BK27" s="117">
        <v>65993</v>
      </c>
      <c r="BL27" s="161">
        <v>4</v>
      </c>
      <c r="BM27" s="161">
        <v>-42926</v>
      </c>
      <c r="BN27" s="117">
        <v>32651</v>
      </c>
      <c r="BO27" s="117">
        <v>13454</v>
      </c>
      <c r="BP27" s="136"/>
      <c r="BR27" s="160">
        <v>-224</v>
      </c>
      <c r="BS27" s="160">
        <v>31</v>
      </c>
      <c r="BT27" s="161">
        <v>2986</v>
      </c>
      <c r="BU27" s="125">
        <v>2929</v>
      </c>
      <c r="BV27" s="160">
        <v>0</v>
      </c>
      <c r="BX27" s="161">
        <v>57</v>
      </c>
      <c r="BY27" s="160">
        <v>-1</v>
      </c>
      <c r="BZ27" s="160">
        <v>2</v>
      </c>
      <c r="CA27" s="160">
        <v>11</v>
      </c>
      <c r="CB27" s="160">
        <v>0</v>
      </c>
      <c r="CC27" s="160">
        <v>47</v>
      </c>
      <c r="CD27" s="160">
        <v>5463</v>
      </c>
      <c r="CE27" s="116">
        <v>2293</v>
      </c>
      <c r="CF27" s="150"/>
      <c r="CG27" s="161">
        <v>102</v>
      </c>
      <c r="CH27" s="160">
        <v>-4808</v>
      </c>
      <c r="CI27" s="159">
        <v>-438</v>
      </c>
      <c r="CK27" s="124"/>
      <c r="CL27" s="161"/>
      <c r="CM27" s="124"/>
      <c r="CN27" s="265">
        <v>21.5</v>
      </c>
      <c r="CO27" s="130"/>
      <c r="CP27" s="116">
        <v>178</v>
      </c>
      <c r="CQ27" s="267">
        <v>8175</v>
      </c>
      <c r="CR27" s="124"/>
      <c r="CS27" s="268">
        <v>1.3342733188720173</v>
      </c>
      <c r="CT27" s="269">
        <v>58.345887315456466</v>
      </c>
      <c r="CU27" s="160">
        <v>-3554.006116207951</v>
      </c>
      <c r="CV27" s="130"/>
      <c r="CW27" s="130"/>
      <c r="CX27" s="130"/>
      <c r="CY27" s="269">
        <v>34.448533848195972</v>
      </c>
      <c r="CZ27" s="125">
        <v>1259.8165137614678</v>
      </c>
      <c r="DA27" s="125">
        <v>47.2757970194303</v>
      </c>
      <c r="DB27" s="273">
        <v>9726.6055045871544</v>
      </c>
      <c r="DC27" s="124"/>
      <c r="DD27" s="117">
        <v>23470</v>
      </c>
      <c r="DE27" s="117">
        <v>66919</v>
      </c>
      <c r="DF27" s="117">
        <v>0</v>
      </c>
      <c r="DG27" s="117">
        <v>-43449</v>
      </c>
      <c r="DH27" s="117">
        <v>32852</v>
      </c>
      <c r="DI27" s="117">
        <v>16696</v>
      </c>
      <c r="DJ27" s="136"/>
      <c r="DL27" s="160">
        <v>-165</v>
      </c>
      <c r="DM27" s="160">
        <v>35</v>
      </c>
      <c r="DN27" s="161">
        <v>5969</v>
      </c>
      <c r="DO27" s="116">
        <v>2928</v>
      </c>
      <c r="DP27" s="160">
        <v>0</v>
      </c>
      <c r="DR27" s="161">
        <v>3041</v>
      </c>
      <c r="DS27" s="116">
        <v>0</v>
      </c>
      <c r="DT27" s="116">
        <v>1</v>
      </c>
      <c r="DU27" s="116">
        <v>17</v>
      </c>
      <c r="DV27" s="116">
        <v>0</v>
      </c>
      <c r="DW27" s="160">
        <v>3025</v>
      </c>
      <c r="DX27" s="160">
        <v>8278</v>
      </c>
      <c r="DY27" s="116">
        <v>5759</v>
      </c>
      <c r="DZ27" s="150"/>
      <c r="EA27" s="117">
        <v>-1287</v>
      </c>
      <c r="EB27" s="116">
        <v>-4428</v>
      </c>
      <c r="EC27" s="159">
        <v>-1455</v>
      </c>
      <c r="EE27" s="125"/>
      <c r="EF27" s="161"/>
      <c r="EG27" s="124"/>
      <c r="EH27" s="253">
        <v>21.5</v>
      </c>
      <c r="EI27" s="130"/>
      <c r="EJ27" s="125">
        <v>245</v>
      </c>
      <c r="EK27" s="116"/>
      <c r="EL27" s="159"/>
      <c r="EN27" s="116"/>
      <c r="EO27" s="116"/>
      <c r="EP27" s="159"/>
      <c r="EQ27" s="159">
        <v>-2227</v>
      </c>
      <c r="ER27" s="116">
        <v>4</v>
      </c>
      <c r="ES27" s="116">
        <v>224</v>
      </c>
      <c r="ET27" s="160">
        <v>-3206</v>
      </c>
      <c r="EU27" s="116">
        <v>0</v>
      </c>
      <c r="EV27" s="116">
        <v>475</v>
      </c>
      <c r="EW27" s="160">
        <v>-7973</v>
      </c>
      <c r="EX27" s="160">
        <v>516</v>
      </c>
      <c r="EY27" s="160">
        <v>243</v>
      </c>
      <c r="EZ27" s="116">
        <v>430</v>
      </c>
      <c r="FA27" s="116">
        <v>3181</v>
      </c>
      <c r="FB27" s="116">
        <v>5951</v>
      </c>
      <c r="FC27" s="160">
        <v>1041</v>
      </c>
      <c r="FD27" s="116">
        <v>5953</v>
      </c>
      <c r="FE27" s="116">
        <v>5000</v>
      </c>
      <c r="FF27" s="3">
        <v>24166</v>
      </c>
      <c r="FG27" s="3">
        <v>16327</v>
      </c>
      <c r="FH27" s="3">
        <v>7839</v>
      </c>
      <c r="FI27" s="3">
        <v>142</v>
      </c>
      <c r="FJ27" s="125">
        <v>26350</v>
      </c>
      <c r="FK27" s="160">
        <v>17851</v>
      </c>
      <c r="FL27" s="125">
        <v>8499</v>
      </c>
      <c r="FM27" s="116">
        <v>124</v>
      </c>
      <c r="FN27" s="125">
        <v>32830</v>
      </c>
      <c r="FO27" s="116">
        <v>19160</v>
      </c>
      <c r="FP27" s="116">
        <v>13670</v>
      </c>
      <c r="FQ27" s="116">
        <v>-1287</v>
      </c>
      <c r="FR27" s="153">
        <v>2810</v>
      </c>
      <c r="FS27" s="153">
        <v>2517</v>
      </c>
      <c r="FT27" s="276">
        <v>2309</v>
      </c>
      <c r="FU27" s="3">
        <v>785</v>
      </c>
      <c r="FV27" s="159">
        <v>677</v>
      </c>
      <c r="FW27" s="170"/>
      <c r="FZ27" s="155"/>
      <c r="GA27" s="2"/>
      <c r="GD27" s="163"/>
      <c r="GE27" s="2"/>
      <c r="GF27" s="2"/>
    </row>
    <row r="28" spans="1:188" ht="14.5" x14ac:dyDescent="0.35">
      <c r="A28" s="72">
        <v>111</v>
      </c>
      <c r="B28" s="70" t="s">
        <v>38</v>
      </c>
      <c r="C28" s="158">
        <v>18889</v>
      </c>
      <c r="D28" s="171"/>
      <c r="E28" s="128">
        <v>1.3586827981442737</v>
      </c>
      <c r="F28" s="128">
        <v>52.846618474339657</v>
      </c>
      <c r="G28" s="129">
        <v>-710.9958176716608</v>
      </c>
      <c r="H28" s="216"/>
      <c r="I28" s="172"/>
      <c r="J28" s="218"/>
      <c r="K28" s="128">
        <v>53.460043568887428</v>
      </c>
      <c r="L28" s="129">
        <v>4586.3730213351682</v>
      </c>
      <c r="M28" s="129">
        <v>135.10801572380788</v>
      </c>
      <c r="N28" s="129">
        <v>12390.280057176135</v>
      </c>
      <c r="O28" s="129"/>
      <c r="P28" s="117">
        <v>105165</v>
      </c>
      <c r="Q28" s="161">
        <v>202938</v>
      </c>
      <c r="R28" s="161">
        <v>0</v>
      </c>
      <c r="S28" s="161">
        <v>-97773</v>
      </c>
      <c r="T28" s="124">
        <v>68917</v>
      </c>
      <c r="U28" s="124">
        <v>42965</v>
      </c>
      <c r="V28" s="136"/>
      <c r="X28" s="116">
        <v>-739</v>
      </c>
      <c r="Y28" s="116">
        <v>772</v>
      </c>
      <c r="Z28" s="161">
        <v>14142</v>
      </c>
      <c r="AA28" s="116">
        <v>8695</v>
      </c>
      <c r="AB28" s="116">
        <v>614</v>
      </c>
      <c r="AD28" s="161">
        <v>6061</v>
      </c>
      <c r="AE28" s="117">
        <v>-1</v>
      </c>
      <c r="AF28" s="117">
        <v>100</v>
      </c>
      <c r="AG28" s="116">
        <v>-3</v>
      </c>
      <c r="AH28" s="116">
        <v>-31</v>
      </c>
      <c r="AI28" s="160">
        <v>6126</v>
      </c>
      <c r="AJ28" s="161">
        <v>31535</v>
      </c>
      <c r="AK28" s="161">
        <v>11290</v>
      </c>
      <c r="AL28" s="150"/>
      <c r="AM28" s="161">
        <v>-282</v>
      </c>
      <c r="AN28" s="161">
        <v>-10199</v>
      </c>
      <c r="AO28" s="160">
        <v>-2547</v>
      </c>
      <c r="AQ28" s="160"/>
      <c r="AR28" s="117"/>
      <c r="AS28" s="117"/>
      <c r="AT28" s="99">
        <v>20.5</v>
      </c>
      <c r="AU28" s="130"/>
      <c r="AV28" s="262">
        <v>63</v>
      </c>
      <c r="AW28" s="267">
        <v>18667</v>
      </c>
      <c r="AX28" s="124"/>
      <c r="AY28" s="255">
        <v>1.2531580568963747</v>
      </c>
      <c r="AZ28" s="259">
        <v>59.959125413611886</v>
      </c>
      <c r="BA28" s="160">
        <v>-1376.1182836020785</v>
      </c>
      <c r="BB28" s="130"/>
      <c r="BC28" s="130"/>
      <c r="BD28" s="130"/>
      <c r="BE28" s="128">
        <v>50.712099571516021</v>
      </c>
      <c r="BF28" s="160">
        <v>4722.1299619649653</v>
      </c>
      <c r="BG28" s="129">
        <v>130.44565912419299</v>
      </c>
      <c r="BH28" s="131">
        <v>12985.750254459741</v>
      </c>
      <c r="BI28" s="124"/>
      <c r="BJ28" s="117">
        <v>103929</v>
      </c>
      <c r="BK28" s="117">
        <v>207906</v>
      </c>
      <c r="BL28" s="161">
        <v>-1</v>
      </c>
      <c r="BM28" s="161">
        <v>-103978</v>
      </c>
      <c r="BN28" s="117">
        <v>68404</v>
      </c>
      <c r="BO28" s="117">
        <v>43449</v>
      </c>
      <c r="BP28" s="136"/>
      <c r="BR28" s="160">
        <v>-634</v>
      </c>
      <c r="BS28" s="160">
        <v>4259</v>
      </c>
      <c r="BT28" s="161">
        <v>11500</v>
      </c>
      <c r="BU28" s="125">
        <v>9163</v>
      </c>
      <c r="BV28" s="160">
        <v>-203</v>
      </c>
      <c r="BX28" s="161">
        <v>2134</v>
      </c>
      <c r="BY28" s="161">
        <v>-1</v>
      </c>
      <c r="BZ28" s="161">
        <v>81</v>
      </c>
      <c r="CA28" s="160">
        <v>1</v>
      </c>
      <c r="CB28" s="160">
        <v>-15</v>
      </c>
      <c r="CC28" s="160">
        <v>2198</v>
      </c>
      <c r="CD28" s="160">
        <v>31760</v>
      </c>
      <c r="CE28" s="116">
        <v>10465</v>
      </c>
      <c r="CF28" s="150"/>
      <c r="CG28" s="161">
        <v>-911</v>
      </c>
      <c r="CH28" s="160">
        <v>-9035</v>
      </c>
      <c r="CI28" s="159">
        <v>-13140</v>
      </c>
      <c r="CK28" s="124"/>
      <c r="CL28" s="161"/>
      <c r="CM28" s="124"/>
      <c r="CN28" s="265">
        <v>20.5</v>
      </c>
      <c r="CO28" s="130"/>
      <c r="CP28" s="116">
        <v>83</v>
      </c>
      <c r="CQ28" s="267">
        <v>18497</v>
      </c>
      <c r="CR28" s="124"/>
      <c r="CS28" s="268">
        <v>1.9320775363451619</v>
      </c>
      <c r="CT28" s="269">
        <v>65.214968326185868</v>
      </c>
      <c r="CU28" s="160">
        <v>-1512.5155430610369</v>
      </c>
      <c r="CV28" s="130"/>
      <c r="CW28" s="130"/>
      <c r="CX28" s="130"/>
      <c r="CY28" s="269">
        <v>50.737851966640733</v>
      </c>
      <c r="CZ28" s="125">
        <v>5888.4684002811273</v>
      </c>
      <c r="DA28" s="125">
        <v>151.63470377108769</v>
      </c>
      <c r="DB28" s="273">
        <v>14174.136346434556</v>
      </c>
      <c r="DC28" s="124"/>
      <c r="DD28" s="117">
        <v>104668</v>
      </c>
      <c r="DE28" s="117">
        <v>208423</v>
      </c>
      <c r="DF28" s="117">
        <v>350</v>
      </c>
      <c r="DG28" s="117">
        <v>-103405</v>
      </c>
      <c r="DH28" s="117">
        <v>72997</v>
      </c>
      <c r="DI28" s="117">
        <v>52020</v>
      </c>
      <c r="DJ28" s="136"/>
      <c r="DL28" s="160">
        <v>-624</v>
      </c>
      <c r="DM28" s="160">
        <v>3047</v>
      </c>
      <c r="DN28" s="161">
        <v>24035</v>
      </c>
      <c r="DO28" s="116">
        <v>12027</v>
      </c>
      <c r="DP28" s="160">
        <v>9325</v>
      </c>
      <c r="DR28" s="161">
        <v>21333</v>
      </c>
      <c r="DS28" s="117">
        <v>-3</v>
      </c>
      <c r="DT28" s="117">
        <v>-1</v>
      </c>
      <c r="DU28" s="116">
        <v>3</v>
      </c>
      <c r="DV28" s="116">
        <v>32</v>
      </c>
      <c r="DW28" s="160">
        <v>21358</v>
      </c>
      <c r="DX28" s="160">
        <v>52919</v>
      </c>
      <c r="DY28" s="116">
        <v>31795</v>
      </c>
      <c r="DZ28" s="150"/>
      <c r="EA28" s="117">
        <v>2651</v>
      </c>
      <c r="EB28" s="116">
        <v>-12110</v>
      </c>
      <c r="EC28" s="159">
        <v>-2386</v>
      </c>
      <c r="EE28" s="125"/>
      <c r="EF28" s="161"/>
      <c r="EG28" s="124"/>
      <c r="EH28" s="253">
        <v>20.5</v>
      </c>
      <c r="EI28" s="130"/>
      <c r="EJ28" s="125">
        <v>52</v>
      </c>
      <c r="EK28" s="116"/>
      <c r="EL28" s="159"/>
      <c r="EN28" s="116"/>
      <c r="EO28" s="116"/>
      <c r="EP28" s="159"/>
      <c r="EQ28" s="159">
        <v>-18035</v>
      </c>
      <c r="ER28" s="116">
        <v>28</v>
      </c>
      <c r="ES28" s="116">
        <v>4170</v>
      </c>
      <c r="ET28" s="160">
        <v>-24311</v>
      </c>
      <c r="EU28" s="116">
        <v>8</v>
      </c>
      <c r="EV28" s="116">
        <v>698</v>
      </c>
      <c r="EW28" s="160">
        <v>-36097</v>
      </c>
      <c r="EX28" s="160">
        <v>622</v>
      </c>
      <c r="EY28" s="160">
        <v>1294</v>
      </c>
      <c r="EZ28" s="116">
        <v>8195</v>
      </c>
      <c r="FA28" s="116">
        <v>62</v>
      </c>
      <c r="FB28" s="116">
        <v>24025</v>
      </c>
      <c r="FC28" s="160">
        <v>-1442</v>
      </c>
      <c r="FD28" s="116">
        <v>36203</v>
      </c>
      <c r="FE28" s="116">
        <v>-4851</v>
      </c>
      <c r="FF28" s="3">
        <v>83094</v>
      </c>
      <c r="FG28" s="3">
        <v>65285</v>
      </c>
      <c r="FH28" s="3">
        <v>17809</v>
      </c>
      <c r="FI28" s="3">
        <v>1773</v>
      </c>
      <c r="FJ28" s="125">
        <v>96615</v>
      </c>
      <c r="FK28" s="160">
        <v>79004</v>
      </c>
      <c r="FL28" s="125">
        <v>17611</v>
      </c>
      <c r="FM28" s="116">
        <v>1753</v>
      </c>
      <c r="FN28" s="125">
        <v>115900</v>
      </c>
      <c r="FO28" s="116">
        <v>99436</v>
      </c>
      <c r="FP28" s="116">
        <v>16464</v>
      </c>
      <c r="FQ28" s="116">
        <v>2651</v>
      </c>
      <c r="FR28" s="153">
        <v>20</v>
      </c>
      <c r="FS28" s="153">
        <v>19</v>
      </c>
      <c r="FT28" s="276">
        <v>647</v>
      </c>
      <c r="FU28" s="3">
        <v>36283</v>
      </c>
      <c r="FV28" s="159">
        <v>32028</v>
      </c>
      <c r="FW28" s="170"/>
      <c r="FZ28" s="155"/>
      <c r="GA28" s="2"/>
      <c r="GD28" s="163"/>
      <c r="GE28" s="2"/>
      <c r="GF28" s="2"/>
    </row>
    <row r="29" spans="1:188" ht="14.5" x14ac:dyDescent="0.35">
      <c r="A29" s="72">
        <v>90</v>
      </c>
      <c r="B29" s="70" t="s">
        <v>26</v>
      </c>
      <c r="C29" s="158">
        <v>3329</v>
      </c>
      <c r="D29" s="171"/>
      <c r="E29" s="128">
        <v>0.80142109199700817</v>
      </c>
      <c r="F29" s="128">
        <v>60.270192446129478</v>
      </c>
      <c r="G29" s="129">
        <v>-4835.6863923100027</v>
      </c>
      <c r="H29" s="216"/>
      <c r="I29" s="172"/>
      <c r="J29" s="218"/>
      <c r="K29" s="128">
        <v>30.206711409395972</v>
      </c>
      <c r="L29" s="129">
        <v>2228.5971763292278</v>
      </c>
      <c r="M29" s="129">
        <v>61.757320744389709</v>
      </c>
      <c r="N29" s="129">
        <v>13171.522979873836</v>
      </c>
      <c r="O29" s="129"/>
      <c r="P29" s="117">
        <v>16627</v>
      </c>
      <c r="Q29" s="161">
        <v>40008</v>
      </c>
      <c r="R29" s="161">
        <v>0</v>
      </c>
      <c r="S29" s="161">
        <v>-23381</v>
      </c>
      <c r="T29" s="124">
        <v>11515</v>
      </c>
      <c r="U29" s="124">
        <v>13532</v>
      </c>
      <c r="V29" s="136"/>
      <c r="X29" s="116">
        <v>131</v>
      </c>
      <c r="Y29" s="116">
        <v>310</v>
      </c>
      <c r="Z29" s="161">
        <v>2107</v>
      </c>
      <c r="AA29" s="116">
        <v>1893</v>
      </c>
      <c r="AB29" s="116">
        <v>79</v>
      </c>
      <c r="AD29" s="161">
        <v>293</v>
      </c>
      <c r="AE29" s="117">
        <v>2</v>
      </c>
      <c r="AF29" s="117">
        <v>-10</v>
      </c>
      <c r="AG29" s="116">
        <v>0</v>
      </c>
      <c r="AH29" s="116">
        <v>1</v>
      </c>
      <c r="AI29" s="160">
        <v>286</v>
      </c>
      <c r="AJ29" s="161">
        <v>2041</v>
      </c>
      <c r="AK29" s="161">
        <v>2004</v>
      </c>
      <c r="AL29" s="150"/>
      <c r="AM29" s="161">
        <v>24</v>
      </c>
      <c r="AN29" s="161">
        <v>-2638</v>
      </c>
      <c r="AO29" s="160">
        <v>928</v>
      </c>
      <c r="AQ29" s="160"/>
      <c r="AR29" s="117"/>
      <c r="AS29" s="117"/>
      <c r="AT29" s="99">
        <v>21</v>
      </c>
      <c r="AU29" s="130"/>
      <c r="AV29" s="262">
        <v>98</v>
      </c>
      <c r="AW29" s="267">
        <v>3254</v>
      </c>
      <c r="AX29" s="124"/>
      <c r="AY29" s="255">
        <v>54.526315789473685</v>
      </c>
      <c r="AZ29" s="259">
        <v>56.627190904784463</v>
      </c>
      <c r="BA29" s="160">
        <v>-4696.6810079901661</v>
      </c>
      <c r="BB29" s="130"/>
      <c r="BC29" s="130"/>
      <c r="BD29" s="130"/>
      <c r="BE29" s="128">
        <v>31.230717451057384</v>
      </c>
      <c r="BF29" s="160">
        <v>2137.6767055931164</v>
      </c>
      <c r="BG29" s="129">
        <v>64.327608323831242</v>
      </c>
      <c r="BH29" s="131">
        <v>12936.693300553165</v>
      </c>
      <c r="BI29" s="124"/>
      <c r="BJ29" s="117">
        <v>16696</v>
      </c>
      <c r="BK29" s="117">
        <v>40621</v>
      </c>
      <c r="BL29" s="161">
        <v>0</v>
      </c>
      <c r="BM29" s="161">
        <v>-23925</v>
      </c>
      <c r="BN29" s="117">
        <v>11954</v>
      </c>
      <c r="BO29" s="117">
        <v>13570</v>
      </c>
      <c r="BP29" s="136"/>
      <c r="BR29" s="160">
        <v>118</v>
      </c>
      <c r="BS29" s="160">
        <v>317</v>
      </c>
      <c r="BT29" s="161">
        <v>2034</v>
      </c>
      <c r="BU29" s="125">
        <v>2240</v>
      </c>
      <c r="BV29" s="160">
        <v>0</v>
      </c>
      <c r="BX29" s="161">
        <v>-206</v>
      </c>
      <c r="BY29" s="161">
        <v>0</v>
      </c>
      <c r="BZ29" s="160">
        <v>47</v>
      </c>
      <c r="CA29" s="160">
        <v>0</v>
      </c>
      <c r="CB29" s="160">
        <v>1</v>
      </c>
      <c r="CC29" s="160">
        <v>-158</v>
      </c>
      <c r="CD29" s="160">
        <v>1821</v>
      </c>
      <c r="CE29" s="116">
        <v>1975</v>
      </c>
      <c r="CF29" s="150"/>
      <c r="CG29" s="161">
        <v>31</v>
      </c>
      <c r="CH29" s="160">
        <v>0</v>
      </c>
      <c r="CI29" s="159">
        <v>877</v>
      </c>
      <c r="CK29" s="124"/>
      <c r="CL29" s="161"/>
      <c r="CM29" s="124"/>
      <c r="CN29" s="265">
        <v>21</v>
      </c>
      <c r="CO29" s="130"/>
      <c r="CP29" s="116">
        <v>82</v>
      </c>
      <c r="CQ29" s="267">
        <v>3196</v>
      </c>
      <c r="CR29" s="124"/>
      <c r="CS29" s="268">
        <v>60.82</v>
      </c>
      <c r="CT29" s="269">
        <v>51.038720148388592</v>
      </c>
      <c r="CU29" s="160">
        <v>-4326.6583229036296</v>
      </c>
      <c r="CV29" s="130"/>
      <c r="CW29" s="130"/>
      <c r="CX29" s="130"/>
      <c r="CY29" s="269">
        <v>34.894554078089271</v>
      </c>
      <c r="CZ29" s="125">
        <v>1912.70337922403</v>
      </c>
      <c r="DA29" s="125">
        <v>51.728219038345621</v>
      </c>
      <c r="DB29" s="273">
        <v>13496.245306633291</v>
      </c>
      <c r="DC29" s="124"/>
      <c r="DD29" s="117">
        <v>16400</v>
      </c>
      <c r="DE29" s="117">
        <v>40562</v>
      </c>
      <c r="DF29" s="117">
        <v>0</v>
      </c>
      <c r="DG29" s="117">
        <v>-24162</v>
      </c>
      <c r="DH29" s="117">
        <v>12193</v>
      </c>
      <c r="DI29" s="117">
        <v>14537</v>
      </c>
      <c r="DJ29" s="136"/>
      <c r="DL29" s="160">
        <v>108</v>
      </c>
      <c r="DM29" s="160">
        <v>315</v>
      </c>
      <c r="DN29" s="161">
        <v>2991</v>
      </c>
      <c r="DO29" s="116">
        <v>2002</v>
      </c>
      <c r="DP29" s="160">
        <v>232</v>
      </c>
      <c r="DR29" s="161">
        <v>1221</v>
      </c>
      <c r="DS29" s="117">
        <v>0</v>
      </c>
      <c r="DT29" s="116">
        <v>25</v>
      </c>
      <c r="DU29" s="116">
        <v>0</v>
      </c>
      <c r="DV29" s="116">
        <v>0</v>
      </c>
      <c r="DW29" s="160">
        <v>1246</v>
      </c>
      <c r="DX29" s="160">
        <v>3046</v>
      </c>
      <c r="DY29" s="116">
        <v>2903</v>
      </c>
      <c r="DZ29" s="150"/>
      <c r="EA29" s="117">
        <v>-398</v>
      </c>
      <c r="EB29" s="116">
        <v>0</v>
      </c>
      <c r="EC29" s="159">
        <v>1465</v>
      </c>
      <c r="EE29" s="125"/>
      <c r="EF29" s="161"/>
      <c r="EG29" s="124"/>
      <c r="EH29" s="253">
        <v>21</v>
      </c>
      <c r="EI29" s="130"/>
      <c r="EJ29" s="125">
        <v>162</v>
      </c>
      <c r="EK29" s="116"/>
      <c r="EL29" s="159"/>
      <c r="EN29" s="116"/>
      <c r="EO29" s="116"/>
      <c r="EP29" s="159"/>
      <c r="EQ29" s="159">
        <v>-1156</v>
      </c>
      <c r="ER29" s="116">
        <v>34</v>
      </c>
      <c r="ES29" s="116">
        <v>46</v>
      </c>
      <c r="ET29" s="160">
        <v>-1131</v>
      </c>
      <c r="EU29" s="116">
        <v>10</v>
      </c>
      <c r="EV29" s="116">
        <v>23</v>
      </c>
      <c r="EW29" s="160">
        <v>-2502</v>
      </c>
      <c r="EX29" s="160">
        <v>2</v>
      </c>
      <c r="EY29" s="160">
        <v>1062</v>
      </c>
      <c r="EZ29" s="116">
        <v>0</v>
      </c>
      <c r="FA29" s="116">
        <v>798</v>
      </c>
      <c r="FB29" s="116">
        <v>6050</v>
      </c>
      <c r="FC29" s="160">
        <v>-6969</v>
      </c>
      <c r="FD29" s="116">
        <v>1299</v>
      </c>
      <c r="FE29" s="116">
        <v>-3423</v>
      </c>
      <c r="FF29" s="3">
        <v>21270</v>
      </c>
      <c r="FG29" s="3">
        <v>4557</v>
      </c>
      <c r="FH29" s="3">
        <v>16713</v>
      </c>
      <c r="FI29" s="3">
        <v>0</v>
      </c>
      <c r="FJ29" s="125">
        <v>20052</v>
      </c>
      <c r="FK29" s="160">
        <v>4405</v>
      </c>
      <c r="FL29" s="125">
        <v>15647</v>
      </c>
      <c r="FM29" s="116">
        <v>0</v>
      </c>
      <c r="FN29" s="125">
        <v>17929</v>
      </c>
      <c r="FO29" s="116">
        <v>11725</v>
      </c>
      <c r="FP29" s="116">
        <v>6204</v>
      </c>
      <c r="FQ29" s="116">
        <v>-398</v>
      </c>
      <c r="FR29" s="153">
        <v>0</v>
      </c>
      <c r="FS29" s="153">
        <v>0</v>
      </c>
      <c r="FT29" s="276">
        <v>0</v>
      </c>
      <c r="FU29" s="3">
        <v>664</v>
      </c>
      <c r="FV29" s="159">
        <v>1076</v>
      </c>
      <c r="FW29" s="170"/>
      <c r="FZ29" s="155"/>
      <c r="GA29" s="2"/>
      <c r="GD29" s="163"/>
      <c r="GE29" s="2"/>
      <c r="GF29" s="2"/>
    </row>
    <row r="30" spans="1:188" ht="14.5" x14ac:dyDescent="0.35">
      <c r="A30" s="72">
        <v>91</v>
      </c>
      <c r="B30" s="70" t="s">
        <v>27</v>
      </c>
      <c r="C30" s="158">
        <v>648042</v>
      </c>
      <c r="D30" s="171"/>
      <c r="E30" s="128">
        <v>3.8666931802085491</v>
      </c>
      <c r="F30" s="128">
        <v>87.448081767483345</v>
      </c>
      <c r="G30" s="129">
        <v>-6435.7479916425164</v>
      </c>
      <c r="H30" s="216"/>
      <c r="I30" s="172"/>
      <c r="J30" s="218"/>
      <c r="K30" s="128">
        <v>62.312490883045989</v>
      </c>
      <c r="L30" s="129">
        <v>2328.4293301977341</v>
      </c>
      <c r="M30" s="129">
        <v>69.84287009768768</v>
      </c>
      <c r="N30" s="129">
        <v>12168.410380808651</v>
      </c>
      <c r="O30" s="129"/>
      <c r="P30" s="117">
        <v>3551633</v>
      </c>
      <c r="Q30" s="161">
        <v>5797476</v>
      </c>
      <c r="R30" s="161">
        <v>14523</v>
      </c>
      <c r="S30" s="161">
        <v>-2231320</v>
      </c>
      <c r="T30" s="124">
        <v>3416582</v>
      </c>
      <c r="U30" s="124">
        <v>197861</v>
      </c>
      <c r="V30" s="136"/>
      <c r="X30" s="116">
        <v>-40875</v>
      </c>
      <c r="Y30" s="116">
        <v>15758</v>
      </c>
      <c r="Z30" s="161">
        <v>1358006</v>
      </c>
      <c r="AA30" s="116">
        <v>780501</v>
      </c>
      <c r="AB30" s="117">
        <v>-18391</v>
      </c>
      <c r="AD30" s="161">
        <v>559114</v>
      </c>
      <c r="AE30" s="117">
        <v>1312</v>
      </c>
      <c r="AF30" s="117">
        <v>2050</v>
      </c>
      <c r="AG30" s="116">
        <v>-15145</v>
      </c>
      <c r="AH30" s="117">
        <v>-18959</v>
      </c>
      <c r="AI30" s="160">
        <v>528372</v>
      </c>
      <c r="AJ30" s="161">
        <v>5249606</v>
      </c>
      <c r="AK30" s="161">
        <v>1166306</v>
      </c>
      <c r="AL30" s="150"/>
      <c r="AM30" s="161">
        <v>-5963</v>
      </c>
      <c r="AN30" s="161">
        <v>-305620</v>
      </c>
      <c r="AO30" s="160">
        <v>-34525</v>
      </c>
      <c r="AQ30" s="160"/>
      <c r="AR30" s="117"/>
      <c r="AS30" s="117"/>
      <c r="AT30" s="99">
        <v>18</v>
      </c>
      <c r="AU30" s="130"/>
      <c r="AV30" s="262">
        <v>2</v>
      </c>
      <c r="AW30" s="267">
        <v>653835</v>
      </c>
      <c r="AX30" s="124"/>
      <c r="AY30" s="255">
        <v>3.144041285286757</v>
      </c>
      <c r="AZ30" s="259">
        <v>88.583122341960703</v>
      </c>
      <c r="BA30" s="160">
        <v>-6893.324768481345</v>
      </c>
      <c r="BB30" s="130"/>
      <c r="BC30" s="130"/>
      <c r="BD30" s="130"/>
      <c r="BE30" s="128">
        <v>62.966702676893441</v>
      </c>
      <c r="BF30" s="160">
        <v>2286.9638364419156</v>
      </c>
      <c r="BG30" s="129">
        <v>62.895812627610347</v>
      </c>
      <c r="BH30" s="131">
        <v>13392.732111312487</v>
      </c>
      <c r="BI30" s="124"/>
      <c r="BJ30" s="117">
        <v>3739674</v>
      </c>
      <c r="BK30" s="117">
        <v>6076785</v>
      </c>
      <c r="BL30" s="161">
        <v>16817</v>
      </c>
      <c r="BM30" s="161">
        <v>-2320294</v>
      </c>
      <c r="BN30" s="117">
        <v>3493732</v>
      </c>
      <c r="BO30" s="117">
        <v>233329</v>
      </c>
      <c r="BP30" s="136"/>
      <c r="BR30" s="160">
        <v>-37221</v>
      </c>
      <c r="BS30" s="160">
        <v>7504</v>
      </c>
      <c r="BT30" s="161">
        <v>1377050</v>
      </c>
      <c r="BU30" s="125">
        <v>834836</v>
      </c>
      <c r="BV30" s="161">
        <v>-50</v>
      </c>
      <c r="BW30" s="117"/>
      <c r="BX30" s="161">
        <v>542164</v>
      </c>
      <c r="BY30" s="161">
        <v>95</v>
      </c>
      <c r="BZ30" s="161">
        <v>1522</v>
      </c>
      <c r="CA30" s="161">
        <v>24319</v>
      </c>
      <c r="CB30" s="161">
        <v>-15729</v>
      </c>
      <c r="CC30" s="160">
        <v>503733</v>
      </c>
      <c r="CD30" s="160">
        <v>5724455</v>
      </c>
      <c r="CE30" s="116">
        <v>1215682</v>
      </c>
      <c r="CF30" s="150"/>
      <c r="CG30" s="161">
        <v>-24832</v>
      </c>
      <c r="CH30" s="160">
        <v>-396983</v>
      </c>
      <c r="CI30" s="159">
        <v>-333123</v>
      </c>
      <c r="CK30" s="124"/>
      <c r="CL30" s="161"/>
      <c r="CM30" s="124"/>
      <c r="CN30" s="265">
        <v>18</v>
      </c>
      <c r="CO30" s="130"/>
      <c r="CP30" s="116">
        <v>3</v>
      </c>
      <c r="CQ30" s="267">
        <v>656920</v>
      </c>
      <c r="CR30" s="124"/>
      <c r="CS30" s="268">
        <v>4.796385298804398</v>
      </c>
      <c r="CT30" s="269">
        <v>90.292537012233936</v>
      </c>
      <c r="CU30" s="160">
        <v>-7383.1806003775191</v>
      </c>
      <c r="CV30" s="130"/>
      <c r="CW30" s="130"/>
      <c r="CX30" s="130"/>
      <c r="CY30" s="269">
        <v>62.311929232605721</v>
      </c>
      <c r="CZ30" s="125">
        <v>2479.1968580649091</v>
      </c>
      <c r="DA30" s="125">
        <v>65.927699627259017</v>
      </c>
      <c r="DB30" s="273">
        <v>13725.745905133046</v>
      </c>
      <c r="DC30" s="124"/>
      <c r="DD30" s="117">
        <v>3803496</v>
      </c>
      <c r="DE30" s="117">
        <v>6402147</v>
      </c>
      <c r="DF30" s="117">
        <v>32706</v>
      </c>
      <c r="DG30" s="117">
        <v>-2565945</v>
      </c>
      <c r="DH30" s="117">
        <v>3565598</v>
      </c>
      <c r="DI30" s="117">
        <v>480135</v>
      </c>
      <c r="DJ30" s="136"/>
      <c r="DL30" s="160">
        <v>-44257</v>
      </c>
      <c r="DM30" s="160">
        <v>2908</v>
      </c>
      <c r="DN30" s="161">
        <v>1438439</v>
      </c>
      <c r="DO30" s="116">
        <v>843312</v>
      </c>
      <c r="DP30" s="161">
        <v>10330</v>
      </c>
      <c r="DQ30" s="117"/>
      <c r="DR30" s="161">
        <v>605457</v>
      </c>
      <c r="DS30" s="117">
        <v>3253</v>
      </c>
      <c r="DT30" s="117">
        <v>1035</v>
      </c>
      <c r="DU30" s="117">
        <v>12127</v>
      </c>
      <c r="DV30" s="117">
        <v>-28734</v>
      </c>
      <c r="DW30" s="160">
        <v>568884</v>
      </c>
      <c r="DX30" s="160">
        <v>6237774</v>
      </c>
      <c r="DY30" s="116">
        <v>1341771</v>
      </c>
      <c r="DZ30" s="150"/>
      <c r="EA30" s="117">
        <v>3399</v>
      </c>
      <c r="EB30" s="116">
        <v>-254373</v>
      </c>
      <c r="EC30" s="159">
        <v>-268786</v>
      </c>
      <c r="EE30" s="125"/>
      <c r="EF30" s="161"/>
      <c r="EG30" s="124"/>
      <c r="EH30" s="253">
        <v>18</v>
      </c>
      <c r="EI30" s="130"/>
      <c r="EJ30" s="125">
        <v>3</v>
      </c>
      <c r="EK30" s="116"/>
      <c r="EL30" s="159"/>
      <c r="EN30" s="116"/>
      <c r="EO30" s="116"/>
      <c r="EP30" s="159"/>
      <c r="EQ30" s="159">
        <v>-1718766</v>
      </c>
      <c r="ER30" s="116">
        <v>11511</v>
      </c>
      <c r="ES30" s="116">
        <v>506424</v>
      </c>
      <c r="ET30" s="160">
        <v>-2210554</v>
      </c>
      <c r="EU30" s="116">
        <v>16603</v>
      </c>
      <c r="EV30" s="116">
        <v>645146</v>
      </c>
      <c r="EW30" s="160">
        <v>-2273959</v>
      </c>
      <c r="EX30" s="160">
        <v>16735</v>
      </c>
      <c r="EY30" s="160">
        <v>646667</v>
      </c>
      <c r="EZ30" s="116">
        <v>366423</v>
      </c>
      <c r="FA30" s="116">
        <v>-891</v>
      </c>
      <c r="FB30" s="116">
        <v>566813</v>
      </c>
      <c r="FC30" s="160">
        <v>17610</v>
      </c>
      <c r="FD30" s="116">
        <v>652933</v>
      </c>
      <c r="FE30" s="116">
        <v>-17704</v>
      </c>
      <c r="FF30" s="3">
        <v>4983823</v>
      </c>
      <c r="FG30" s="3">
        <v>4654445</v>
      </c>
      <c r="FH30" s="3">
        <v>329378</v>
      </c>
      <c r="FI30" s="3">
        <v>478189</v>
      </c>
      <c r="FJ30" s="125">
        <v>5171263</v>
      </c>
      <c r="FK30" s="160">
        <v>4855341</v>
      </c>
      <c r="FL30" s="125">
        <v>315922</v>
      </c>
      <c r="FM30" s="116">
        <v>474043</v>
      </c>
      <c r="FN30" s="125">
        <v>5552119</v>
      </c>
      <c r="FO30" s="116">
        <v>5234907</v>
      </c>
      <c r="FP30" s="116">
        <v>317212</v>
      </c>
      <c r="FQ30" s="116">
        <v>3399</v>
      </c>
      <c r="FR30" s="153">
        <v>297163</v>
      </c>
      <c r="FS30" s="153">
        <v>281297</v>
      </c>
      <c r="FT30" s="276">
        <v>346490</v>
      </c>
      <c r="FU30" s="3">
        <v>598214</v>
      </c>
      <c r="FV30" s="159">
        <v>880117</v>
      </c>
      <c r="FW30" s="170"/>
      <c r="FZ30" s="155"/>
      <c r="GA30" s="2"/>
      <c r="GD30" s="163"/>
      <c r="GE30" s="2"/>
      <c r="GF30" s="2"/>
    </row>
    <row r="31" spans="1:188" ht="14.5" x14ac:dyDescent="0.35">
      <c r="A31" s="72">
        <v>97</v>
      </c>
      <c r="B31" s="70" t="s">
        <v>29</v>
      </c>
      <c r="C31" s="158">
        <v>2152</v>
      </c>
      <c r="D31" s="171"/>
      <c r="E31" s="128">
        <v>3.3638888888888889</v>
      </c>
      <c r="F31" s="128">
        <v>47.209712159780693</v>
      </c>
      <c r="G31" s="129">
        <v>-577.13754646840152</v>
      </c>
      <c r="H31" s="216"/>
      <c r="I31" s="172"/>
      <c r="J31" s="218"/>
      <c r="K31" s="128">
        <v>46.269446502275372</v>
      </c>
      <c r="L31" s="129">
        <v>5256.5055762081784</v>
      </c>
      <c r="M31" s="129">
        <v>133.81125226860254</v>
      </c>
      <c r="N31" s="129">
        <v>14338.289962825278</v>
      </c>
      <c r="O31" s="129"/>
      <c r="P31" s="117">
        <v>15911</v>
      </c>
      <c r="Q31" s="161">
        <v>28468</v>
      </c>
      <c r="R31" s="161">
        <v>5</v>
      </c>
      <c r="S31" s="161">
        <v>-12552</v>
      </c>
      <c r="T31" s="124">
        <v>7616</v>
      </c>
      <c r="U31" s="124">
        <v>7115</v>
      </c>
      <c r="V31" s="136"/>
      <c r="X31" s="116">
        <v>-95</v>
      </c>
      <c r="Y31" s="116">
        <v>236</v>
      </c>
      <c r="Z31" s="161">
        <v>2320</v>
      </c>
      <c r="AA31" s="116">
        <v>1561</v>
      </c>
      <c r="AB31" s="116">
        <v>6</v>
      </c>
      <c r="AD31" s="161">
        <v>765</v>
      </c>
      <c r="AE31" s="116">
        <v>-1</v>
      </c>
      <c r="AF31" s="116">
        <v>0</v>
      </c>
      <c r="AG31" s="116">
        <v>0</v>
      </c>
      <c r="AH31" s="116">
        <v>-5</v>
      </c>
      <c r="AI31" s="160">
        <v>759</v>
      </c>
      <c r="AJ31" s="161">
        <v>4299</v>
      </c>
      <c r="AK31" s="161">
        <v>2137</v>
      </c>
      <c r="AL31" s="150"/>
      <c r="AM31" s="161">
        <v>-315</v>
      </c>
      <c r="AN31" s="161">
        <v>-618</v>
      </c>
      <c r="AO31" s="160">
        <v>879</v>
      </c>
      <c r="AQ31" s="160"/>
      <c r="AR31" s="117"/>
      <c r="AS31" s="117"/>
      <c r="AT31" s="99">
        <v>20</v>
      </c>
      <c r="AU31" s="130"/>
      <c r="AV31" s="262">
        <v>16</v>
      </c>
      <c r="AW31" s="267">
        <v>2136</v>
      </c>
      <c r="AX31" s="124"/>
      <c r="AY31" s="255">
        <v>2.1235294117647059</v>
      </c>
      <c r="AZ31" s="259">
        <v>49.103814864032671</v>
      </c>
      <c r="BA31" s="160">
        <v>-254.68164794007492</v>
      </c>
      <c r="BB31" s="130"/>
      <c r="BC31" s="130"/>
      <c r="BD31" s="130"/>
      <c r="BE31" s="128">
        <v>47.240221978533214</v>
      </c>
      <c r="BF31" s="160">
        <v>5916.1985018726591</v>
      </c>
      <c r="BG31" s="129">
        <v>127.39577868978925</v>
      </c>
      <c r="BH31" s="131">
        <v>15171.816479400748</v>
      </c>
      <c r="BI31" s="124"/>
      <c r="BJ31" s="117">
        <v>16178</v>
      </c>
      <c r="BK31" s="117">
        <v>29763</v>
      </c>
      <c r="BL31" s="161">
        <v>9</v>
      </c>
      <c r="BM31" s="161">
        <v>-13576</v>
      </c>
      <c r="BN31" s="117">
        <v>7809</v>
      </c>
      <c r="BO31" s="117">
        <v>6866</v>
      </c>
      <c r="BP31" s="136"/>
      <c r="BR31" s="160">
        <v>-73</v>
      </c>
      <c r="BS31" s="160">
        <v>341</v>
      </c>
      <c r="BT31" s="161">
        <v>1367</v>
      </c>
      <c r="BU31" s="125">
        <v>1203</v>
      </c>
      <c r="BV31" s="160">
        <v>953</v>
      </c>
      <c r="BX31" s="161">
        <v>1117</v>
      </c>
      <c r="BY31" s="160">
        <v>0</v>
      </c>
      <c r="BZ31" s="161">
        <v>0</v>
      </c>
      <c r="CA31" s="160">
        <v>0</v>
      </c>
      <c r="CB31" s="160">
        <v>-5</v>
      </c>
      <c r="CC31" s="160">
        <v>1112</v>
      </c>
      <c r="CD31" s="160">
        <v>5377</v>
      </c>
      <c r="CE31" s="116">
        <v>1330</v>
      </c>
      <c r="CF31" s="150"/>
      <c r="CG31" s="160">
        <v>-57</v>
      </c>
      <c r="CH31" s="160">
        <v>-603</v>
      </c>
      <c r="CI31" s="159">
        <v>1037</v>
      </c>
      <c r="CK31" s="124"/>
      <c r="CL31" s="161"/>
      <c r="CM31" s="124"/>
      <c r="CN31" s="265">
        <v>20</v>
      </c>
      <c r="CO31" s="130"/>
      <c r="CP31" s="116">
        <v>78</v>
      </c>
      <c r="CQ31" s="267">
        <v>2156</v>
      </c>
      <c r="CR31" s="124"/>
      <c r="CS31" s="268">
        <v>3.5865051903114189</v>
      </c>
      <c r="CT31" s="269">
        <v>45.903893020058739</v>
      </c>
      <c r="CU31" s="160">
        <v>-128.47866419294991</v>
      </c>
      <c r="CV31" s="130"/>
      <c r="CW31" s="130"/>
      <c r="CX31" s="130"/>
      <c r="CY31" s="269">
        <v>48.863035430988894</v>
      </c>
      <c r="CZ31" s="125">
        <v>5693.4137291280149</v>
      </c>
      <c r="DA31" s="125">
        <v>135.46516901493621</v>
      </c>
      <c r="DB31" s="273">
        <v>15340.445269016698</v>
      </c>
      <c r="DC31" s="124"/>
      <c r="DD31" s="117">
        <v>16711</v>
      </c>
      <c r="DE31" s="117">
        <v>30360</v>
      </c>
      <c r="DF31" s="117">
        <v>5</v>
      </c>
      <c r="DG31" s="117">
        <v>-13644</v>
      </c>
      <c r="DH31" s="117">
        <v>7851</v>
      </c>
      <c r="DI31" s="117">
        <v>7444</v>
      </c>
      <c r="DJ31" s="136"/>
      <c r="DL31" s="160">
        <v>-70</v>
      </c>
      <c r="DM31" s="160">
        <v>417</v>
      </c>
      <c r="DN31" s="161">
        <v>1998</v>
      </c>
      <c r="DO31" s="116">
        <v>1419</v>
      </c>
      <c r="DP31" s="160">
        <v>0</v>
      </c>
      <c r="DR31" s="161">
        <v>579</v>
      </c>
      <c r="DS31" s="116">
        <v>0</v>
      </c>
      <c r="DT31" s="117">
        <v>0</v>
      </c>
      <c r="DU31" s="116">
        <v>0</v>
      </c>
      <c r="DV31" s="116">
        <v>-2</v>
      </c>
      <c r="DW31" s="160">
        <v>577</v>
      </c>
      <c r="DX31" s="160">
        <v>5944</v>
      </c>
      <c r="DY31" s="116">
        <v>1991</v>
      </c>
      <c r="DZ31" s="150"/>
      <c r="EA31" s="116">
        <v>-170</v>
      </c>
      <c r="EB31" s="116">
        <v>-503</v>
      </c>
      <c r="EC31" s="159">
        <v>179</v>
      </c>
      <c r="EE31" s="125"/>
      <c r="EF31" s="161"/>
      <c r="EG31" s="124"/>
      <c r="EH31" s="253">
        <v>20</v>
      </c>
      <c r="EI31" s="130"/>
      <c r="EJ31" s="125">
        <v>172</v>
      </c>
      <c r="EK31" s="116"/>
      <c r="EL31" s="159"/>
      <c r="EN31" s="116"/>
      <c r="EO31" s="116"/>
      <c r="EP31" s="159"/>
      <c r="EQ31" s="159">
        <v>-1667</v>
      </c>
      <c r="ER31" s="116">
        <v>73</v>
      </c>
      <c r="ES31" s="116">
        <v>336</v>
      </c>
      <c r="ET31" s="160">
        <v>-1892</v>
      </c>
      <c r="EU31" s="116">
        <v>37</v>
      </c>
      <c r="EV31" s="116">
        <v>1562</v>
      </c>
      <c r="EW31" s="160">
        <v>-2122</v>
      </c>
      <c r="EX31" s="160">
        <v>278</v>
      </c>
      <c r="EY31" s="160">
        <v>32</v>
      </c>
      <c r="EZ31" s="116">
        <v>993</v>
      </c>
      <c r="FA31" s="116">
        <v>-397</v>
      </c>
      <c r="FB31" s="116">
        <v>964</v>
      </c>
      <c r="FC31" s="160">
        <v>-152</v>
      </c>
      <c r="FD31" s="116">
        <v>493</v>
      </c>
      <c r="FE31" s="116">
        <v>-575</v>
      </c>
      <c r="FF31" s="3">
        <v>8236</v>
      </c>
      <c r="FG31" s="3">
        <v>6839</v>
      </c>
      <c r="FH31" s="3">
        <v>1397</v>
      </c>
      <c r="FI31" s="3">
        <v>0</v>
      </c>
      <c r="FJ31" s="125">
        <v>8444</v>
      </c>
      <c r="FK31" s="160">
        <v>7160</v>
      </c>
      <c r="FL31" s="125">
        <v>1284</v>
      </c>
      <c r="FM31" s="116">
        <v>0</v>
      </c>
      <c r="FN31" s="125">
        <v>7860</v>
      </c>
      <c r="FO31" s="116">
        <v>7127</v>
      </c>
      <c r="FP31" s="116">
        <v>733</v>
      </c>
      <c r="FQ31" s="116">
        <v>-170</v>
      </c>
      <c r="FR31" s="153">
        <v>734</v>
      </c>
      <c r="FS31" s="153">
        <v>672</v>
      </c>
      <c r="FT31" s="276">
        <v>610</v>
      </c>
      <c r="FU31" s="3">
        <v>918</v>
      </c>
      <c r="FV31" s="159">
        <v>829</v>
      </c>
      <c r="FW31" s="170"/>
      <c r="FZ31" s="155"/>
      <c r="GA31" s="2"/>
      <c r="GD31" s="163"/>
      <c r="GE31" s="2"/>
      <c r="GF31" s="2"/>
    </row>
    <row r="32" spans="1:188" ht="14.5" x14ac:dyDescent="0.35">
      <c r="A32" s="72">
        <v>98</v>
      </c>
      <c r="B32" s="70" t="s">
        <v>30</v>
      </c>
      <c r="C32" s="158">
        <v>23602</v>
      </c>
      <c r="D32" s="171"/>
      <c r="E32" s="128">
        <v>6.5740354535974976</v>
      </c>
      <c r="F32" s="128">
        <v>44.270209301611125</v>
      </c>
      <c r="G32" s="129">
        <v>-2953.7327345140243</v>
      </c>
      <c r="H32" s="217"/>
      <c r="I32" s="172"/>
      <c r="J32" s="218"/>
      <c r="K32" s="128">
        <v>46.190734049089336</v>
      </c>
      <c r="L32" s="129">
        <v>814.38013727650196</v>
      </c>
      <c r="M32" s="129">
        <v>30.500106512014121</v>
      </c>
      <c r="N32" s="129">
        <v>9745.8266248623004</v>
      </c>
      <c r="O32" s="129"/>
      <c r="P32" s="117">
        <v>96626</v>
      </c>
      <c r="Q32" s="161">
        <v>215890</v>
      </c>
      <c r="R32" s="161">
        <v>6</v>
      </c>
      <c r="S32" s="161">
        <v>-119258</v>
      </c>
      <c r="T32" s="124">
        <v>89740</v>
      </c>
      <c r="U32" s="124">
        <v>41487</v>
      </c>
      <c r="V32" s="136"/>
      <c r="X32" s="116">
        <v>-806</v>
      </c>
      <c r="Y32" s="116">
        <v>613</v>
      </c>
      <c r="Z32" s="161">
        <v>11776</v>
      </c>
      <c r="AA32" s="116">
        <v>13660</v>
      </c>
      <c r="AB32" s="116">
        <v>69</v>
      </c>
      <c r="AD32" s="161">
        <v>-1815</v>
      </c>
      <c r="AE32" s="117">
        <v>-2</v>
      </c>
      <c r="AF32" s="117">
        <v>-1</v>
      </c>
      <c r="AG32" s="116">
        <v>-4</v>
      </c>
      <c r="AH32" s="116">
        <v>-45</v>
      </c>
      <c r="AI32" s="160">
        <v>-1867</v>
      </c>
      <c r="AJ32" s="161">
        <v>21484</v>
      </c>
      <c r="AK32" s="161">
        <v>10306</v>
      </c>
      <c r="AL32" s="150"/>
      <c r="AM32" s="161">
        <v>1665</v>
      </c>
      <c r="AN32" s="161">
        <v>-1085</v>
      </c>
      <c r="AO32" s="160">
        <v>5132</v>
      </c>
      <c r="AQ32" s="160"/>
      <c r="AR32" s="117"/>
      <c r="AS32" s="117"/>
      <c r="AT32" s="99">
        <v>21</v>
      </c>
      <c r="AU32" s="130"/>
      <c r="AV32" s="262">
        <v>142</v>
      </c>
      <c r="AW32" s="267">
        <v>23410</v>
      </c>
      <c r="AX32" s="124"/>
      <c r="AY32" s="255">
        <v>0.8572493730088796</v>
      </c>
      <c r="AZ32" s="259">
        <v>40.432947455300443</v>
      </c>
      <c r="BA32" s="160">
        <v>-2877.402819307988</v>
      </c>
      <c r="BB32" s="130"/>
      <c r="BC32" s="130"/>
      <c r="BD32" s="130"/>
      <c r="BE32" s="128">
        <v>48.455251393949801</v>
      </c>
      <c r="BF32" s="160">
        <v>669.45749679624089</v>
      </c>
      <c r="BG32" s="129">
        <v>27.880544284732128</v>
      </c>
      <c r="BH32" s="131">
        <v>10748.95343870141</v>
      </c>
      <c r="BI32" s="124"/>
      <c r="BJ32" s="117">
        <v>98475</v>
      </c>
      <c r="BK32" s="117">
        <v>222567</v>
      </c>
      <c r="BL32" s="161">
        <v>40</v>
      </c>
      <c r="BM32" s="161">
        <v>-124052</v>
      </c>
      <c r="BN32" s="117">
        <v>92308</v>
      </c>
      <c r="BO32" s="117">
        <v>43056</v>
      </c>
      <c r="BP32" s="136"/>
      <c r="BR32" s="160">
        <v>-818</v>
      </c>
      <c r="BS32" s="160">
        <v>1324</v>
      </c>
      <c r="BT32" s="161">
        <v>11818</v>
      </c>
      <c r="BU32" s="125">
        <v>12065</v>
      </c>
      <c r="BV32" s="160">
        <v>585</v>
      </c>
      <c r="BX32" s="161">
        <v>338</v>
      </c>
      <c r="BY32" s="161">
        <v>-28</v>
      </c>
      <c r="BZ32" s="160">
        <v>0</v>
      </c>
      <c r="CA32" s="160">
        <v>12</v>
      </c>
      <c r="CB32" s="160">
        <v>-43</v>
      </c>
      <c r="CC32" s="160">
        <v>255</v>
      </c>
      <c r="CD32" s="160">
        <v>23013</v>
      </c>
      <c r="CE32" s="116">
        <v>12156</v>
      </c>
      <c r="CF32" s="150"/>
      <c r="CG32" s="161">
        <v>415</v>
      </c>
      <c r="CH32" s="160">
        <v>-13924</v>
      </c>
      <c r="CI32" s="159">
        <v>864</v>
      </c>
      <c r="CK32" s="124"/>
      <c r="CL32" s="161"/>
      <c r="CM32" s="124"/>
      <c r="CN32" s="265">
        <v>21</v>
      </c>
      <c r="CO32" s="130"/>
      <c r="CP32" s="116">
        <v>117</v>
      </c>
      <c r="CQ32" s="267">
        <v>23251</v>
      </c>
      <c r="CR32" s="124"/>
      <c r="CS32" s="268">
        <v>2.1533519120606903</v>
      </c>
      <c r="CT32" s="269">
        <v>40.660228340631434</v>
      </c>
      <c r="CU32" s="160">
        <v>-2714.6789385402776</v>
      </c>
      <c r="CV32" s="130"/>
      <c r="CW32" s="130"/>
      <c r="CX32" s="130"/>
      <c r="CY32" s="269">
        <v>50.469861726406229</v>
      </c>
      <c r="CZ32" s="125">
        <v>1263.9026278439637</v>
      </c>
      <c r="DA32" s="125">
        <v>41.230088869755072</v>
      </c>
      <c r="DB32" s="273">
        <v>11189.024127994495</v>
      </c>
      <c r="DC32" s="124"/>
      <c r="DD32" s="117">
        <v>98244</v>
      </c>
      <c r="DE32" s="117">
        <v>223563</v>
      </c>
      <c r="DF32" s="117">
        <v>4</v>
      </c>
      <c r="DG32" s="117">
        <v>-125315</v>
      </c>
      <c r="DH32" s="117">
        <v>97885</v>
      </c>
      <c r="DI32" s="117">
        <v>53936</v>
      </c>
      <c r="DJ32" s="136"/>
      <c r="DL32" s="160">
        <v>-500</v>
      </c>
      <c r="DM32" s="160">
        <v>1303</v>
      </c>
      <c r="DN32" s="161">
        <v>27309</v>
      </c>
      <c r="DO32" s="116">
        <v>12511</v>
      </c>
      <c r="DP32" s="160">
        <v>289</v>
      </c>
      <c r="DR32" s="161">
        <v>15087</v>
      </c>
      <c r="DS32" s="117">
        <v>-74</v>
      </c>
      <c r="DT32" s="116">
        <v>0</v>
      </c>
      <c r="DU32" s="116">
        <v>14</v>
      </c>
      <c r="DV32" s="116">
        <v>-53</v>
      </c>
      <c r="DW32" s="160">
        <v>14946</v>
      </c>
      <c r="DX32" s="160">
        <v>37959</v>
      </c>
      <c r="DY32" s="116">
        <v>27110</v>
      </c>
      <c r="DZ32" s="150"/>
      <c r="EA32" s="117">
        <v>2010</v>
      </c>
      <c r="EB32" s="116">
        <v>-12410</v>
      </c>
      <c r="EC32" s="159">
        <v>4775</v>
      </c>
      <c r="EE32" s="125"/>
      <c r="EF32" s="161"/>
      <c r="EG32" s="124"/>
      <c r="EH32" s="253">
        <v>21</v>
      </c>
      <c r="EI32" s="130"/>
      <c r="EJ32" s="125">
        <v>82</v>
      </c>
      <c r="EK32" s="116"/>
      <c r="EL32" s="159"/>
      <c r="EN32" s="116"/>
      <c r="EO32" s="116"/>
      <c r="EP32" s="159"/>
      <c r="EQ32" s="159">
        <v>-12018</v>
      </c>
      <c r="ER32" s="116">
        <v>0</v>
      </c>
      <c r="ES32" s="116">
        <v>6844</v>
      </c>
      <c r="ET32" s="160">
        <v>-13802</v>
      </c>
      <c r="EU32" s="116">
        <v>0</v>
      </c>
      <c r="EV32" s="116">
        <v>2510</v>
      </c>
      <c r="EW32" s="160">
        <v>-23581</v>
      </c>
      <c r="EX32" s="160">
        <v>106</v>
      </c>
      <c r="EY32" s="160">
        <v>1140</v>
      </c>
      <c r="EZ32" s="116">
        <v>208</v>
      </c>
      <c r="FA32" s="116">
        <v>-8749</v>
      </c>
      <c r="FB32" s="116">
        <v>1580</v>
      </c>
      <c r="FC32" s="160">
        <v>5838</v>
      </c>
      <c r="FD32" s="116">
        <v>19000</v>
      </c>
      <c r="FE32" s="116">
        <v>-1129</v>
      </c>
      <c r="FF32" s="3">
        <v>65624</v>
      </c>
      <c r="FG32" s="3">
        <v>56536</v>
      </c>
      <c r="FH32" s="3">
        <v>9088</v>
      </c>
      <c r="FI32" s="3">
        <v>1713</v>
      </c>
      <c r="FJ32" s="125">
        <v>59118</v>
      </c>
      <c r="FK32" s="160">
        <v>44093</v>
      </c>
      <c r="FL32" s="125">
        <v>15025</v>
      </c>
      <c r="FM32" s="116">
        <v>1557</v>
      </c>
      <c r="FN32" s="125">
        <v>62377</v>
      </c>
      <c r="FO32" s="116">
        <v>53065</v>
      </c>
      <c r="FP32" s="116">
        <v>9312</v>
      </c>
      <c r="FQ32" s="116">
        <v>2010</v>
      </c>
      <c r="FR32" s="153">
        <v>140</v>
      </c>
      <c r="FS32" s="153">
        <v>991</v>
      </c>
      <c r="FT32" s="276">
        <v>1565</v>
      </c>
      <c r="FU32" s="3">
        <v>62606</v>
      </c>
      <c r="FV32" s="159">
        <v>87344</v>
      </c>
      <c r="FW32" s="170"/>
      <c r="FZ32" s="155"/>
      <c r="GA32" s="2"/>
      <c r="GD32" s="163"/>
      <c r="GE32" s="2"/>
      <c r="GF32" s="2"/>
    </row>
    <row r="33" spans="1:188" ht="14.5" x14ac:dyDescent="0.35">
      <c r="A33" s="72">
        <v>99</v>
      </c>
      <c r="B33" s="70" t="s">
        <v>31</v>
      </c>
      <c r="C33" s="158">
        <v>1666</v>
      </c>
      <c r="D33" s="171"/>
      <c r="E33" s="128">
        <v>-1.5626598465473145</v>
      </c>
      <c r="F33" s="128">
        <v>40.136453057636764</v>
      </c>
      <c r="G33" s="129">
        <v>-4245.498199279712</v>
      </c>
      <c r="H33" s="216"/>
      <c r="I33" s="172"/>
      <c r="J33" s="218"/>
      <c r="K33" s="128">
        <v>18.524109014675052</v>
      </c>
      <c r="L33" s="129">
        <v>780.31212484993989</v>
      </c>
      <c r="M33" s="129">
        <v>18.702455559497064</v>
      </c>
      <c r="N33" s="129">
        <v>15228.691476590637</v>
      </c>
      <c r="O33" s="129"/>
      <c r="P33" s="117">
        <v>13851</v>
      </c>
      <c r="Q33" s="161">
        <v>24515</v>
      </c>
      <c r="R33" s="161">
        <v>0</v>
      </c>
      <c r="S33" s="161">
        <v>-10664</v>
      </c>
      <c r="T33" s="124">
        <v>5268</v>
      </c>
      <c r="U33" s="124">
        <v>4772</v>
      </c>
      <c r="V33" s="136"/>
      <c r="X33" s="116">
        <v>-36</v>
      </c>
      <c r="Y33" s="116">
        <v>11</v>
      </c>
      <c r="Z33" s="161">
        <v>-649</v>
      </c>
      <c r="AA33" s="116">
        <v>445</v>
      </c>
      <c r="AB33" s="116">
        <v>0</v>
      </c>
      <c r="AD33" s="161">
        <v>-1094</v>
      </c>
      <c r="AE33" s="117">
        <v>0</v>
      </c>
      <c r="AF33" s="117">
        <v>-7</v>
      </c>
      <c r="AG33" s="116">
        <v>0</v>
      </c>
      <c r="AH33" s="116">
        <v>0</v>
      </c>
      <c r="AI33" s="160">
        <v>-1101</v>
      </c>
      <c r="AJ33" s="161">
        <v>-2552</v>
      </c>
      <c r="AK33" s="161">
        <v>-624</v>
      </c>
      <c r="AL33" s="150"/>
      <c r="AM33" s="161">
        <v>257</v>
      </c>
      <c r="AN33" s="161">
        <v>-353</v>
      </c>
      <c r="AO33" s="160">
        <v>-1068</v>
      </c>
      <c r="AQ33" s="160"/>
      <c r="AR33" s="117"/>
      <c r="AS33" s="117"/>
      <c r="AT33" s="99">
        <v>22</v>
      </c>
      <c r="AU33" s="130"/>
      <c r="AV33" s="262">
        <v>294</v>
      </c>
      <c r="AW33" s="267">
        <v>1620</v>
      </c>
      <c r="AX33" s="124"/>
      <c r="AY33" s="255">
        <v>2.5506493506493508</v>
      </c>
      <c r="AZ33" s="259">
        <v>38.560247904334354</v>
      </c>
      <c r="BA33" s="160">
        <v>-3991.9753086419751</v>
      </c>
      <c r="BB33" s="130"/>
      <c r="BC33" s="130"/>
      <c r="BD33" s="130"/>
      <c r="BE33" s="128">
        <v>21.604839993631586</v>
      </c>
      <c r="BF33" s="160">
        <v>1240.1234567901233</v>
      </c>
      <c r="BG33" s="129">
        <v>18.891587371103235</v>
      </c>
      <c r="BH33" s="131">
        <v>15504.320987654321</v>
      </c>
      <c r="BI33" s="124"/>
      <c r="BJ33" s="117">
        <v>14130</v>
      </c>
      <c r="BK33" s="117">
        <v>24199</v>
      </c>
      <c r="BL33" s="161">
        <v>0</v>
      </c>
      <c r="BM33" s="161">
        <v>-10069</v>
      </c>
      <c r="BN33" s="117">
        <v>5846</v>
      </c>
      <c r="BO33" s="117">
        <v>5195</v>
      </c>
      <c r="BP33" s="136"/>
      <c r="BR33" s="160">
        <v>-34</v>
      </c>
      <c r="BS33" s="160">
        <v>9</v>
      </c>
      <c r="BT33" s="161">
        <v>947</v>
      </c>
      <c r="BU33" s="125">
        <v>442</v>
      </c>
      <c r="BV33" s="160">
        <v>0</v>
      </c>
      <c r="BX33" s="161">
        <v>505</v>
      </c>
      <c r="BY33" s="161">
        <v>0</v>
      </c>
      <c r="BZ33" s="161">
        <v>-4</v>
      </c>
      <c r="CA33" s="160">
        <v>0</v>
      </c>
      <c r="CB33" s="160">
        <v>1</v>
      </c>
      <c r="CC33" s="160">
        <v>502</v>
      </c>
      <c r="CD33" s="160">
        <v>-2048</v>
      </c>
      <c r="CE33" s="116">
        <v>548</v>
      </c>
      <c r="CF33" s="150"/>
      <c r="CG33" s="161">
        <v>-15</v>
      </c>
      <c r="CH33" s="160">
        <v>-350</v>
      </c>
      <c r="CI33" s="159">
        <v>588</v>
      </c>
      <c r="CK33" s="124"/>
      <c r="CL33" s="161"/>
      <c r="CM33" s="124"/>
      <c r="CN33" s="265">
        <v>22.5</v>
      </c>
      <c r="CO33" s="130"/>
      <c r="CP33" s="116">
        <v>92</v>
      </c>
      <c r="CQ33" s="267">
        <v>1595</v>
      </c>
      <c r="CR33" s="124"/>
      <c r="CS33" s="268">
        <v>2.9085603112840466</v>
      </c>
      <c r="CT33" s="269">
        <v>42.98328977587709</v>
      </c>
      <c r="CU33" s="160">
        <v>-4695.9247648902829</v>
      </c>
      <c r="CV33" s="130"/>
      <c r="CW33" s="130"/>
      <c r="CX33" s="130"/>
      <c r="CY33" s="269">
        <v>23.874280163741066</v>
      </c>
      <c r="CZ33" s="125">
        <v>1124.1379310344828</v>
      </c>
      <c r="DA33" s="125">
        <v>24.329714859288448</v>
      </c>
      <c r="DB33" s="273">
        <v>16864.576802507836</v>
      </c>
      <c r="DC33" s="124"/>
      <c r="DD33" s="117">
        <v>13925</v>
      </c>
      <c r="DE33" s="117">
        <v>23769</v>
      </c>
      <c r="DF33" s="117">
        <v>0</v>
      </c>
      <c r="DG33" s="117">
        <v>-9844</v>
      </c>
      <c r="DH33" s="117">
        <v>5818</v>
      </c>
      <c r="DI33" s="117">
        <v>5511</v>
      </c>
      <c r="DJ33" s="136"/>
      <c r="DL33" s="160">
        <v>-35</v>
      </c>
      <c r="DM33" s="160">
        <v>7</v>
      </c>
      <c r="DN33" s="161">
        <v>1457</v>
      </c>
      <c r="DO33" s="116">
        <v>730</v>
      </c>
      <c r="DP33" s="160">
        <v>0</v>
      </c>
      <c r="DR33" s="161">
        <v>727</v>
      </c>
      <c r="DS33" s="117">
        <v>0</v>
      </c>
      <c r="DT33" s="117">
        <v>-6</v>
      </c>
      <c r="DU33" s="116">
        <v>0</v>
      </c>
      <c r="DV33" s="116">
        <v>1</v>
      </c>
      <c r="DW33" s="160">
        <v>722</v>
      </c>
      <c r="DX33" s="160">
        <v>-1321</v>
      </c>
      <c r="DY33" s="116">
        <v>1403</v>
      </c>
      <c r="DZ33" s="150"/>
      <c r="EA33" s="117">
        <v>-341</v>
      </c>
      <c r="EB33" s="116">
        <v>-476</v>
      </c>
      <c r="EC33" s="159">
        <v>-1057</v>
      </c>
      <c r="EE33" s="125"/>
      <c r="EF33" s="161"/>
      <c r="EG33" s="124"/>
      <c r="EH33" s="253">
        <v>22.5</v>
      </c>
      <c r="EI33" s="130"/>
      <c r="EJ33" s="125">
        <v>185</v>
      </c>
      <c r="EK33" s="116"/>
      <c r="EL33" s="159"/>
      <c r="EN33" s="116"/>
      <c r="EO33" s="116"/>
      <c r="EP33" s="159"/>
      <c r="EQ33" s="159">
        <v>-461</v>
      </c>
      <c r="ER33" s="116">
        <v>8</v>
      </c>
      <c r="ES33" s="116">
        <v>9</v>
      </c>
      <c r="ET33" s="160">
        <v>-530</v>
      </c>
      <c r="EU33" s="116">
        <v>5</v>
      </c>
      <c r="EV33" s="116">
        <v>565</v>
      </c>
      <c r="EW33" s="160">
        <v>-2613</v>
      </c>
      <c r="EX33" s="160">
        <v>4</v>
      </c>
      <c r="EY33" s="160">
        <v>149</v>
      </c>
      <c r="EZ33" s="116">
        <v>128</v>
      </c>
      <c r="FA33" s="116">
        <v>0</v>
      </c>
      <c r="FB33" s="116">
        <v>2078</v>
      </c>
      <c r="FC33" s="160">
        <v>0</v>
      </c>
      <c r="FD33" s="116">
        <v>1751</v>
      </c>
      <c r="FE33" s="116">
        <v>-1000</v>
      </c>
      <c r="FF33" s="3">
        <v>4831</v>
      </c>
      <c r="FG33" s="3">
        <v>3481</v>
      </c>
      <c r="FH33" s="3">
        <v>1350</v>
      </c>
      <c r="FI33" s="3">
        <v>0</v>
      </c>
      <c r="FJ33" s="125">
        <v>6559</v>
      </c>
      <c r="FK33" s="160">
        <v>5083</v>
      </c>
      <c r="FL33" s="125">
        <v>1476</v>
      </c>
      <c r="FM33" s="116">
        <v>0</v>
      </c>
      <c r="FN33" s="125">
        <v>6834</v>
      </c>
      <c r="FO33" s="116">
        <v>6186</v>
      </c>
      <c r="FP33" s="116">
        <v>648</v>
      </c>
      <c r="FQ33" s="116">
        <v>-341</v>
      </c>
      <c r="FR33" s="153">
        <v>1359</v>
      </c>
      <c r="FS33" s="153">
        <v>1229</v>
      </c>
      <c r="FT33" s="276">
        <v>1141</v>
      </c>
      <c r="FU33" s="3">
        <v>1804</v>
      </c>
      <c r="FV33" s="159">
        <v>2308</v>
      </c>
      <c r="FW33" s="170"/>
      <c r="FZ33" s="155"/>
      <c r="GA33" s="2"/>
      <c r="GD33" s="163"/>
      <c r="GE33" s="2"/>
      <c r="GF33" s="2"/>
    </row>
    <row r="34" spans="1:188" ht="14.5" x14ac:dyDescent="0.35">
      <c r="A34" s="72">
        <v>102</v>
      </c>
      <c r="B34" s="70" t="s">
        <v>32</v>
      </c>
      <c r="C34" s="158">
        <v>10091</v>
      </c>
      <c r="D34" s="171"/>
      <c r="E34" s="128">
        <v>0.36476306196840824</v>
      </c>
      <c r="F34" s="128">
        <v>54.284992768429028</v>
      </c>
      <c r="G34" s="129">
        <v>-3295.8081458725601</v>
      </c>
      <c r="H34" s="216"/>
      <c r="I34" s="172"/>
      <c r="J34" s="218"/>
      <c r="K34" s="128">
        <v>45.820972882365268</v>
      </c>
      <c r="L34" s="129">
        <v>872.65880487563174</v>
      </c>
      <c r="M34" s="129">
        <v>33.032794466768756</v>
      </c>
      <c r="N34" s="129">
        <v>9642.5527697948655</v>
      </c>
      <c r="O34" s="129"/>
      <c r="P34" s="117">
        <v>24387</v>
      </c>
      <c r="Q34" s="161">
        <v>86066</v>
      </c>
      <c r="R34" s="161">
        <v>128</v>
      </c>
      <c r="S34" s="161">
        <v>-61551</v>
      </c>
      <c r="T34" s="124">
        <v>32665</v>
      </c>
      <c r="U34" s="124">
        <v>30066</v>
      </c>
      <c r="V34" s="136"/>
      <c r="X34" s="116">
        <v>-224</v>
      </c>
      <c r="Y34" s="116">
        <v>316</v>
      </c>
      <c r="Z34" s="161">
        <v>1272</v>
      </c>
      <c r="AA34" s="116">
        <v>4576</v>
      </c>
      <c r="AB34" s="116">
        <v>-5</v>
      </c>
      <c r="AD34" s="161">
        <v>-3309</v>
      </c>
      <c r="AE34" s="116">
        <v>-6</v>
      </c>
      <c r="AF34" s="116">
        <v>0</v>
      </c>
      <c r="AG34" s="116">
        <v>-17</v>
      </c>
      <c r="AH34" s="116">
        <v>-22</v>
      </c>
      <c r="AI34" s="160">
        <v>-3354</v>
      </c>
      <c r="AJ34" s="161">
        <v>7513</v>
      </c>
      <c r="AK34" s="161">
        <v>508</v>
      </c>
      <c r="AL34" s="150"/>
      <c r="AM34" s="161">
        <v>270</v>
      </c>
      <c r="AN34" s="161">
        <v>-3886</v>
      </c>
      <c r="AO34" s="160">
        <v>-5407</v>
      </c>
      <c r="AQ34" s="160"/>
      <c r="AR34" s="117"/>
      <c r="AS34" s="117"/>
      <c r="AT34" s="99">
        <v>20.75</v>
      </c>
      <c r="AU34" s="130"/>
      <c r="AV34" s="262">
        <v>270</v>
      </c>
      <c r="AW34" s="267">
        <v>10044</v>
      </c>
      <c r="AX34" s="124"/>
      <c r="AY34" s="255">
        <v>0.37390059316833707</v>
      </c>
      <c r="AZ34" s="259">
        <v>54.024550385383954</v>
      </c>
      <c r="BA34" s="160">
        <v>-3526.4834727200318</v>
      </c>
      <c r="BB34" s="130"/>
      <c r="BC34" s="130"/>
      <c r="BD34" s="130"/>
      <c r="BE34" s="128">
        <v>43.884626903494826</v>
      </c>
      <c r="BF34" s="160">
        <v>665.17323775388297</v>
      </c>
      <c r="BG34" s="129">
        <v>33.74265138154027</v>
      </c>
      <c r="BH34" s="131">
        <v>9483.8709677419356</v>
      </c>
      <c r="BI34" s="124"/>
      <c r="BJ34" s="117">
        <v>24003</v>
      </c>
      <c r="BK34" s="117">
        <v>85796</v>
      </c>
      <c r="BL34" s="161">
        <v>-1</v>
      </c>
      <c r="BM34" s="161">
        <v>-61794</v>
      </c>
      <c r="BN34" s="117">
        <v>33622</v>
      </c>
      <c r="BO34" s="117">
        <v>29950</v>
      </c>
      <c r="BP34" s="136"/>
      <c r="BR34" s="160">
        <v>-222</v>
      </c>
      <c r="BS34" s="160">
        <v>48</v>
      </c>
      <c r="BT34" s="161">
        <v>1604</v>
      </c>
      <c r="BU34" s="125">
        <v>5325</v>
      </c>
      <c r="BV34" s="160">
        <v>-2</v>
      </c>
      <c r="BW34" s="117"/>
      <c r="BX34" s="161">
        <v>-3723</v>
      </c>
      <c r="BY34" s="160">
        <v>-12</v>
      </c>
      <c r="BZ34" s="160">
        <v>24</v>
      </c>
      <c r="CA34" s="160">
        <v>19</v>
      </c>
      <c r="CB34" s="160">
        <v>0</v>
      </c>
      <c r="CC34" s="160">
        <v>-3730</v>
      </c>
      <c r="CD34" s="160">
        <v>3817</v>
      </c>
      <c r="CE34" s="116">
        <v>1425</v>
      </c>
      <c r="CF34" s="150"/>
      <c r="CG34" s="161">
        <v>16</v>
      </c>
      <c r="CH34" s="160">
        <v>-4665</v>
      </c>
      <c r="CI34" s="159">
        <v>-2375</v>
      </c>
      <c r="CK34" s="124"/>
      <c r="CL34" s="161"/>
      <c r="CM34" s="124"/>
      <c r="CN34" s="265">
        <v>21</v>
      </c>
      <c r="CO34" s="130"/>
      <c r="CP34" s="116">
        <v>247</v>
      </c>
      <c r="CQ34" s="267">
        <v>9937</v>
      </c>
      <c r="CR34" s="124"/>
      <c r="CS34" s="268">
        <v>2.2279236276849641</v>
      </c>
      <c r="CT34" s="269">
        <v>51.293420449579521</v>
      </c>
      <c r="CU34" s="160">
        <v>-3148.4351413907621</v>
      </c>
      <c r="CV34" s="130"/>
      <c r="CW34" s="130"/>
      <c r="CX34" s="130"/>
      <c r="CY34" s="269">
        <v>46.29557079116335</v>
      </c>
      <c r="CZ34" s="125">
        <v>1253.4970312971723</v>
      </c>
      <c r="DA34" s="125">
        <v>48.197691060013355</v>
      </c>
      <c r="DB34" s="273">
        <v>9492.7040354231667</v>
      </c>
      <c r="DC34" s="124"/>
      <c r="DD34" s="117">
        <v>23497</v>
      </c>
      <c r="DE34" s="117">
        <v>84677</v>
      </c>
      <c r="DF34" s="117">
        <v>94</v>
      </c>
      <c r="DG34" s="117">
        <v>-61086</v>
      </c>
      <c r="DH34" s="117">
        <v>35970</v>
      </c>
      <c r="DI34" s="117">
        <v>34354</v>
      </c>
      <c r="DJ34" s="136"/>
      <c r="DL34" s="160">
        <v>-231</v>
      </c>
      <c r="DM34" s="160">
        <v>92</v>
      </c>
      <c r="DN34" s="161">
        <v>9099</v>
      </c>
      <c r="DO34" s="116">
        <v>4746</v>
      </c>
      <c r="DP34" s="160">
        <v>-1</v>
      </c>
      <c r="DQ34" s="117"/>
      <c r="DR34" s="161">
        <v>4352</v>
      </c>
      <c r="DS34" s="116">
        <v>9</v>
      </c>
      <c r="DT34" s="116">
        <v>0</v>
      </c>
      <c r="DU34" s="116">
        <v>0</v>
      </c>
      <c r="DV34" s="116">
        <v>90</v>
      </c>
      <c r="DW34" s="160">
        <v>4451</v>
      </c>
      <c r="DX34" s="160">
        <v>8301</v>
      </c>
      <c r="DY34" s="116">
        <v>8704</v>
      </c>
      <c r="DZ34" s="150"/>
      <c r="EA34" s="117">
        <v>770</v>
      </c>
      <c r="EB34" s="116">
        <v>-3954</v>
      </c>
      <c r="EC34" s="159">
        <v>3968</v>
      </c>
      <c r="EE34" s="125"/>
      <c r="EF34" s="161"/>
      <c r="EG34" s="124"/>
      <c r="EH34" s="253">
        <v>21</v>
      </c>
      <c r="EI34" s="130"/>
      <c r="EJ34" s="125">
        <v>183</v>
      </c>
      <c r="EK34" s="116"/>
      <c r="EL34" s="159"/>
      <c r="EN34" s="116"/>
      <c r="EO34" s="116"/>
      <c r="EP34" s="159"/>
      <c r="EQ34" s="159">
        <v>-7071</v>
      </c>
      <c r="ER34" s="116">
        <v>416</v>
      </c>
      <c r="ES34" s="116">
        <v>740</v>
      </c>
      <c r="ET34" s="160">
        <v>-4505</v>
      </c>
      <c r="EU34" s="116">
        <v>450</v>
      </c>
      <c r="EV34" s="116">
        <v>255</v>
      </c>
      <c r="EW34" s="160">
        <v>-5446</v>
      </c>
      <c r="EX34" s="160">
        <v>175</v>
      </c>
      <c r="EY34" s="160">
        <v>535</v>
      </c>
      <c r="EZ34" s="116">
        <v>6159</v>
      </c>
      <c r="FA34" s="116">
        <v>-10</v>
      </c>
      <c r="FB34" s="116">
        <v>6738</v>
      </c>
      <c r="FC34" s="160">
        <v>0</v>
      </c>
      <c r="FD34" s="116">
        <v>4863</v>
      </c>
      <c r="FE34" s="116">
        <v>-42</v>
      </c>
      <c r="FF34" s="3">
        <v>30680</v>
      </c>
      <c r="FG34" s="3">
        <v>26339</v>
      </c>
      <c r="FH34" s="3">
        <v>4341</v>
      </c>
      <c r="FI34" s="3">
        <v>0</v>
      </c>
      <c r="FJ34" s="125">
        <v>32748</v>
      </c>
      <c r="FK34" s="160">
        <v>28365</v>
      </c>
      <c r="FL34" s="125">
        <v>4383</v>
      </c>
      <c r="FM34" s="116">
        <v>0</v>
      </c>
      <c r="FN34" s="125">
        <v>33609</v>
      </c>
      <c r="FO34" s="116">
        <v>29710</v>
      </c>
      <c r="FP34" s="116">
        <v>3899</v>
      </c>
      <c r="FQ34" s="116">
        <v>770</v>
      </c>
      <c r="FR34" s="153">
        <v>300</v>
      </c>
      <c r="FS34" s="153">
        <v>300</v>
      </c>
      <c r="FT34" s="276">
        <v>314</v>
      </c>
      <c r="FU34" s="3">
        <v>4224</v>
      </c>
      <c r="FV34" s="159">
        <v>6065</v>
      </c>
      <c r="FW34" s="170"/>
      <c r="FZ34" s="155"/>
      <c r="GA34" s="2"/>
      <c r="GD34" s="163"/>
      <c r="GE34" s="2"/>
      <c r="GF34" s="2"/>
    </row>
    <row r="35" spans="1:188" ht="14.5" x14ac:dyDescent="0.35">
      <c r="A35" s="72">
        <v>103</v>
      </c>
      <c r="B35" s="70" t="s">
        <v>33</v>
      </c>
      <c r="C35" s="158">
        <v>2235</v>
      </c>
      <c r="D35" s="171"/>
      <c r="E35" s="128">
        <v>0.46238938053097345</v>
      </c>
      <c r="F35" s="128">
        <v>51.255193140634667</v>
      </c>
      <c r="G35" s="129">
        <v>-3637.5838926174497</v>
      </c>
      <c r="H35" s="216"/>
      <c r="I35" s="172"/>
      <c r="J35" s="218"/>
      <c r="K35" s="128">
        <v>35.976979994519048</v>
      </c>
      <c r="L35" s="129">
        <v>473.37807606263982</v>
      </c>
      <c r="M35" s="129">
        <v>15.061232449297972</v>
      </c>
      <c r="N35" s="129">
        <v>11472.035794183445</v>
      </c>
      <c r="O35" s="129"/>
      <c r="P35" s="117">
        <v>8938</v>
      </c>
      <c r="Q35" s="161">
        <v>22208</v>
      </c>
      <c r="R35" s="161">
        <v>0</v>
      </c>
      <c r="S35" s="161">
        <v>-13270</v>
      </c>
      <c r="T35" s="124">
        <v>7252</v>
      </c>
      <c r="U35" s="124">
        <v>6436</v>
      </c>
      <c r="V35" s="136"/>
      <c r="X35" s="116">
        <v>-50</v>
      </c>
      <c r="Y35" s="116">
        <v>-4</v>
      </c>
      <c r="Z35" s="161">
        <v>364</v>
      </c>
      <c r="AA35" s="116">
        <v>822</v>
      </c>
      <c r="AB35" s="116">
        <v>664</v>
      </c>
      <c r="AD35" s="161">
        <v>206</v>
      </c>
      <c r="AE35" s="117">
        <v>0</v>
      </c>
      <c r="AF35" s="117">
        <v>0</v>
      </c>
      <c r="AG35" s="116">
        <v>-29</v>
      </c>
      <c r="AH35" s="116">
        <v>-8</v>
      </c>
      <c r="AI35" s="160">
        <v>169</v>
      </c>
      <c r="AJ35" s="161">
        <v>-444</v>
      </c>
      <c r="AK35" s="161">
        <v>954</v>
      </c>
      <c r="AL35" s="150"/>
      <c r="AM35" s="161">
        <v>-229</v>
      </c>
      <c r="AN35" s="161">
        <v>-850</v>
      </c>
      <c r="AO35" s="160">
        <v>-1368</v>
      </c>
      <c r="AQ35" s="160"/>
      <c r="AR35" s="117"/>
      <c r="AS35" s="117"/>
      <c r="AT35" s="99">
        <v>22</v>
      </c>
      <c r="AU35" s="130"/>
      <c r="AV35" s="262">
        <v>257</v>
      </c>
      <c r="AW35" s="267">
        <v>2184</v>
      </c>
      <c r="AX35" s="124"/>
      <c r="AY35" s="255">
        <v>0.90871369294605808</v>
      </c>
      <c r="AZ35" s="259">
        <v>47.173316818543746</v>
      </c>
      <c r="BA35" s="160">
        <v>-3226.1904761904761</v>
      </c>
      <c r="BB35" s="130"/>
      <c r="BC35" s="130"/>
      <c r="BD35" s="130"/>
      <c r="BE35" s="128">
        <v>38.223140495867767</v>
      </c>
      <c r="BF35" s="160">
        <v>633.24175824175825</v>
      </c>
      <c r="BG35" s="129">
        <v>16.750032256677134</v>
      </c>
      <c r="BH35" s="131">
        <v>10646.062271062272</v>
      </c>
      <c r="BI35" s="124"/>
      <c r="BJ35" s="117">
        <v>8521</v>
      </c>
      <c r="BK35" s="117">
        <v>21730</v>
      </c>
      <c r="BL35" s="161">
        <v>0</v>
      </c>
      <c r="BM35" s="161">
        <v>-13209</v>
      </c>
      <c r="BN35" s="117">
        <v>7768</v>
      </c>
      <c r="BO35" s="117">
        <v>6317</v>
      </c>
      <c r="BP35" s="136"/>
      <c r="BR35" s="160">
        <v>-53</v>
      </c>
      <c r="BS35" s="160">
        <v>-3</v>
      </c>
      <c r="BT35" s="161">
        <v>820</v>
      </c>
      <c r="BU35" s="125">
        <v>826</v>
      </c>
      <c r="BV35" s="160">
        <v>2</v>
      </c>
      <c r="BX35" s="161">
        <v>-4</v>
      </c>
      <c r="BY35" s="161">
        <v>0</v>
      </c>
      <c r="BZ35" s="160">
        <v>1</v>
      </c>
      <c r="CA35" s="160">
        <v>21</v>
      </c>
      <c r="CB35" s="160">
        <v>5</v>
      </c>
      <c r="CC35" s="160">
        <v>-19</v>
      </c>
      <c r="CD35" s="160">
        <v>-350</v>
      </c>
      <c r="CE35" s="116">
        <v>802</v>
      </c>
      <c r="CF35" s="150"/>
      <c r="CG35" s="161">
        <v>248</v>
      </c>
      <c r="CH35" s="160">
        <v>-908</v>
      </c>
      <c r="CI35" s="159">
        <v>1315</v>
      </c>
      <c r="CK35" s="124"/>
      <c r="CL35" s="161"/>
      <c r="CM35" s="124"/>
      <c r="CN35" s="265">
        <v>22</v>
      </c>
      <c r="CO35" s="130"/>
      <c r="CP35" s="116">
        <v>171</v>
      </c>
      <c r="CQ35" s="267">
        <v>2174</v>
      </c>
      <c r="CR35" s="124"/>
      <c r="CS35" s="268">
        <v>1.4254201680672269</v>
      </c>
      <c r="CT35" s="269">
        <v>42.223752744178036</v>
      </c>
      <c r="CU35" s="160">
        <v>-2811.8675252989883</v>
      </c>
      <c r="CV35" s="130"/>
      <c r="CW35" s="130"/>
      <c r="CX35" s="130"/>
      <c r="CY35" s="269">
        <v>41.44643699858424</v>
      </c>
      <c r="CZ35" s="125">
        <v>580.49678012879485</v>
      </c>
      <c r="DA35" s="125">
        <v>19.771224997853892</v>
      </c>
      <c r="DB35" s="273">
        <v>10716.651333946642</v>
      </c>
      <c r="DC35" s="124"/>
      <c r="DD35" s="117">
        <v>8735</v>
      </c>
      <c r="DE35" s="117">
        <v>21878</v>
      </c>
      <c r="DF35" s="117">
        <v>0</v>
      </c>
      <c r="DG35" s="117">
        <v>-13143</v>
      </c>
      <c r="DH35" s="117">
        <v>7583</v>
      </c>
      <c r="DI35" s="117">
        <v>6913</v>
      </c>
      <c r="DJ35" s="136"/>
      <c r="DL35" s="160">
        <v>-46</v>
      </c>
      <c r="DM35" s="160">
        <v>-2</v>
      </c>
      <c r="DN35" s="161">
        <v>1305</v>
      </c>
      <c r="DO35" s="116">
        <v>927</v>
      </c>
      <c r="DP35" s="160">
        <v>0</v>
      </c>
      <c r="DR35" s="161">
        <v>378</v>
      </c>
      <c r="DS35" s="117">
        <v>0</v>
      </c>
      <c r="DT35" s="116">
        <v>0</v>
      </c>
      <c r="DU35" s="116">
        <v>10</v>
      </c>
      <c r="DV35" s="116">
        <v>0</v>
      </c>
      <c r="DW35" s="160">
        <v>368</v>
      </c>
      <c r="DX35" s="160">
        <v>16</v>
      </c>
      <c r="DY35" s="116">
        <v>1268</v>
      </c>
      <c r="DZ35" s="150"/>
      <c r="EA35" s="117">
        <v>-157</v>
      </c>
      <c r="EB35" s="116">
        <v>-900</v>
      </c>
      <c r="EC35" s="159">
        <v>860</v>
      </c>
      <c r="EE35" s="125"/>
      <c r="EF35" s="161"/>
      <c r="EG35" s="124"/>
      <c r="EH35" s="253">
        <v>22</v>
      </c>
      <c r="EI35" s="130"/>
      <c r="EJ35" s="125">
        <v>272</v>
      </c>
      <c r="EK35" s="116"/>
      <c r="EL35" s="159"/>
      <c r="EN35" s="116"/>
      <c r="EO35" s="116"/>
      <c r="EP35" s="159"/>
      <c r="EQ35" s="159">
        <v>-2510</v>
      </c>
      <c r="ER35" s="116">
        <v>105</v>
      </c>
      <c r="ES35" s="116">
        <v>83</v>
      </c>
      <c r="ET35" s="160">
        <v>-549</v>
      </c>
      <c r="EU35" s="116">
        <v>53</v>
      </c>
      <c r="EV35" s="116">
        <v>1009</v>
      </c>
      <c r="EW35" s="160">
        <v>-460</v>
      </c>
      <c r="EX35" s="160">
        <v>23</v>
      </c>
      <c r="EY35" s="160">
        <v>29</v>
      </c>
      <c r="EZ35" s="116">
        <v>2049</v>
      </c>
      <c r="FA35" s="116">
        <v>200</v>
      </c>
      <c r="FB35" s="116">
        <v>38</v>
      </c>
      <c r="FC35" s="160">
        <v>8</v>
      </c>
      <c r="FD35" s="116">
        <v>38</v>
      </c>
      <c r="FE35" s="116">
        <v>0</v>
      </c>
      <c r="FF35" s="3">
        <v>8936</v>
      </c>
      <c r="FG35" s="3">
        <v>7127</v>
      </c>
      <c r="FH35" s="3">
        <v>1809</v>
      </c>
      <c r="FI35" s="3">
        <v>8</v>
      </c>
      <c r="FJ35" s="125">
        <v>8090</v>
      </c>
      <c r="FK35" s="160">
        <v>6148</v>
      </c>
      <c r="FL35" s="125">
        <v>1942</v>
      </c>
      <c r="FM35" s="116">
        <v>8</v>
      </c>
      <c r="FN35" s="125">
        <v>7245</v>
      </c>
      <c r="FO35" s="116">
        <v>5341</v>
      </c>
      <c r="FP35" s="116">
        <v>1904</v>
      </c>
      <c r="FQ35" s="116">
        <v>-157</v>
      </c>
      <c r="FR35" s="153">
        <v>0</v>
      </c>
      <c r="FS35" s="153">
        <v>3</v>
      </c>
      <c r="FT35" s="276">
        <v>28</v>
      </c>
      <c r="FU35" s="3">
        <v>87</v>
      </c>
      <c r="FV35" s="159">
        <v>385</v>
      </c>
      <c r="FW35" s="170"/>
      <c r="FZ35" s="155"/>
      <c r="GA35" s="2"/>
      <c r="GD35" s="163"/>
      <c r="GE35" s="2"/>
      <c r="GF35" s="2"/>
    </row>
    <row r="36" spans="1:188" ht="14.5" x14ac:dyDescent="0.35">
      <c r="A36" s="72">
        <v>105</v>
      </c>
      <c r="B36" s="70" t="s">
        <v>34</v>
      </c>
      <c r="C36" s="158">
        <v>2287</v>
      </c>
      <c r="D36" s="171"/>
      <c r="E36" s="128">
        <v>2.0361581920903955</v>
      </c>
      <c r="F36" s="128">
        <v>43.729630542546488</v>
      </c>
      <c r="G36" s="129">
        <v>-4502.8421512898994</v>
      </c>
      <c r="H36" s="216"/>
      <c r="I36" s="172"/>
      <c r="J36" s="218"/>
      <c r="K36" s="128">
        <v>38.08314346543159</v>
      </c>
      <c r="L36" s="129">
        <v>1517.2715347616966</v>
      </c>
      <c r="M36" s="129">
        <v>32.808776292612166</v>
      </c>
      <c r="N36" s="129">
        <v>16879.755137735025</v>
      </c>
      <c r="O36" s="129"/>
      <c r="P36" s="117">
        <v>17513</v>
      </c>
      <c r="Q36" s="161">
        <v>34689</v>
      </c>
      <c r="R36" s="161">
        <v>0</v>
      </c>
      <c r="S36" s="161">
        <v>-17176</v>
      </c>
      <c r="T36" s="124">
        <v>7657</v>
      </c>
      <c r="U36" s="124">
        <v>11343</v>
      </c>
      <c r="V36" s="136"/>
      <c r="X36" s="116">
        <v>-40</v>
      </c>
      <c r="Y36" s="116">
        <v>-26</v>
      </c>
      <c r="Z36" s="161">
        <v>1758</v>
      </c>
      <c r="AA36" s="116">
        <v>1707</v>
      </c>
      <c r="AB36" s="117">
        <v>-1</v>
      </c>
      <c r="AD36" s="161">
        <v>50</v>
      </c>
      <c r="AE36" s="117">
        <v>0</v>
      </c>
      <c r="AF36" s="117">
        <v>3</v>
      </c>
      <c r="AG36" s="116">
        <v>0</v>
      </c>
      <c r="AH36" s="116">
        <v>-12</v>
      </c>
      <c r="AI36" s="160">
        <v>41</v>
      </c>
      <c r="AJ36" s="161">
        <v>-1613</v>
      </c>
      <c r="AK36" s="161">
        <v>1972</v>
      </c>
      <c r="AL36" s="150"/>
      <c r="AM36" s="161">
        <v>-802</v>
      </c>
      <c r="AN36" s="161">
        <v>-841</v>
      </c>
      <c r="AO36" s="160">
        <v>-919</v>
      </c>
      <c r="AQ36" s="160"/>
      <c r="AR36" s="117"/>
      <c r="AS36" s="117"/>
      <c r="AT36" s="99">
        <v>21.75</v>
      </c>
      <c r="AU36" s="130"/>
      <c r="AV36" s="262">
        <v>56</v>
      </c>
      <c r="AW36" s="267">
        <v>2271</v>
      </c>
      <c r="AX36" s="124"/>
      <c r="AY36" s="255">
        <v>2.1583610188261351</v>
      </c>
      <c r="AZ36" s="259">
        <v>44.669747213916828</v>
      </c>
      <c r="BA36" s="160">
        <v>-4888.1549977983268</v>
      </c>
      <c r="BB36" s="130"/>
      <c r="BC36" s="130"/>
      <c r="BD36" s="130"/>
      <c r="BE36" s="128">
        <v>38.892686261107315</v>
      </c>
      <c r="BF36" s="160">
        <v>1542.9326287978863</v>
      </c>
      <c r="BG36" s="129">
        <v>32.973627346333082</v>
      </c>
      <c r="BH36" s="131">
        <v>16913.694407749892</v>
      </c>
      <c r="BI36" s="124"/>
      <c r="BJ36" s="117">
        <v>17700</v>
      </c>
      <c r="BK36" s="117">
        <v>34833</v>
      </c>
      <c r="BL36" s="161">
        <v>0</v>
      </c>
      <c r="BM36" s="161">
        <v>-17133</v>
      </c>
      <c r="BN36" s="117">
        <v>8086</v>
      </c>
      <c r="BO36" s="117">
        <v>11004</v>
      </c>
      <c r="BP36" s="136"/>
      <c r="BR36" s="160">
        <v>-57</v>
      </c>
      <c r="BS36" s="160">
        <v>-10</v>
      </c>
      <c r="BT36" s="161">
        <v>1890</v>
      </c>
      <c r="BU36" s="125">
        <v>1259</v>
      </c>
      <c r="BV36" s="161">
        <v>0</v>
      </c>
      <c r="BW36" s="117"/>
      <c r="BX36" s="161">
        <v>631</v>
      </c>
      <c r="BY36" s="161">
        <v>-6</v>
      </c>
      <c r="BZ36" s="161">
        <v>5</v>
      </c>
      <c r="CA36" s="160">
        <v>0</v>
      </c>
      <c r="CB36" s="160">
        <v>-13</v>
      </c>
      <c r="CC36" s="160">
        <v>617</v>
      </c>
      <c r="CD36" s="160">
        <v>-1019</v>
      </c>
      <c r="CE36" s="116">
        <v>1785</v>
      </c>
      <c r="CF36" s="150"/>
      <c r="CG36" s="161">
        <v>369</v>
      </c>
      <c r="CH36" s="160">
        <v>-844</v>
      </c>
      <c r="CI36" s="159">
        <v>-788</v>
      </c>
      <c r="CK36" s="124"/>
      <c r="CL36" s="161"/>
      <c r="CM36" s="124"/>
      <c r="CN36" s="265">
        <v>21.75</v>
      </c>
      <c r="CO36" s="130"/>
      <c r="CP36" s="116">
        <v>35</v>
      </c>
      <c r="CQ36" s="267">
        <v>2199</v>
      </c>
      <c r="CR36" s="124"/>
      <c r="CS36" s="268">
        <v>2.4819277108433737</v>
      </c>
      <c r="CT36" s="269">
        <v>46.289211935730684</v>
      </c>
      <c r="CU36" s="160">
        <v>-4834.0154615734427</v>
      </c>
      <c r="CV36" s="130"/>
      <c r="CW36" s="130"/>
      <c r="CX36" s="130"/>
      <c r="CY36" s="269">
        <v>38.603542234332423</v>
      </c>
      <c r="CZ36" s="125">
        <v>2147.3396998635744</v>
      </c>
      <c r="DA36" s="125">
        <v>44.904642801313116</v>
      </c>
      <c r="DB36" s="273">
        <v>17454.297407912687</v>
      </c>
      <c r="DC36" s="124"/>
      <c r="DD36" s="117">
        <v>18876</v>
      </c>
      <c r="DE36" s="117">
        <v>35743</v>
      </c>
      <c r="DF36" s="117">
        <v>0</v>
      </c>
      <c r="DG36" s="117">
        <v>-16867</v>
      </c>
      <c r="DH36" s="117">
        <v>7993</v>
      </c>
      <c r="DI36" s="117">
        <v>11034</v>
      </c>
      <c r="DJ36" s="136"/>
      <c r="DL36" s="160">
        <v>-50</v>
      </c>
      <c r="DM36" s="160">
        <v>-107</v>
      </c>
      <c r="DN36" s="161">
        <v>2003</v>
      </c>
      <c r="DO36" s="116">
        <v>1475</v>
      </c>
      <c r="DP36" s="161">
        <v>0</v>
      </c>
      <c r="DQ36" s="117"/>
      <c r="DR36" s="161">
        <v>528</v>
      </c>
      <c r="DS36" s="117">
        <v>-5</v>
      </c>
      <c r="DT36" s="117">
        <v>1</v>
      </c>
      <c r="DU36" s="116">
        <v>0</v>
      </c>
      <c r="DV36" s="116">
        <v>-5</v>
      </c>
      <c r="DW36" s="160">
        <v>519</v>
      </c>
      <c r="DX36" s="160">
        <v>-500</v>
      </c>
      <c r="DY36" s="116">
        <v>2008</v>
      </c>
      <c r="DZ36" s="150"/>
      <c r="EA36" s="117">
        <v>-363</v>
      </c>
      <c r="EB36" s="116">
        <v>-773</v>
      </c>
      <c r="EC36" s="159">
        <v>511</v>
      </c>
      <c r="EE36" s="125"/>
      <c r="EF36" s="161"/>
      <c r="EG36" s="124"/>
      <c r="EH36" s="253">
        <v>21.75</v>
      </c>
      <c r="EI36" s="130"/>
      <c r="EJ36" s="125">
        <v>186</v>
      </c>
      <c r="EK36" s="116"/>
      <c r="EL36" s="159"/>
      <c r="EN36" s="116"/>
      <c r="EO36" s="116"/>
      <c r="EP36" s="159"/>
      <c r="EQ36" s="159">
        <v>-2988</v>
      </c>
      <c r="ER36" s="116">
        <v>59</v>
      </c>
      <c r="ES36" s="116">
        <v>38</v>
      </c>
      <c r="ET36" s="160">
        <v>-2632</v>
      </c>
      <c r="EU36" s="116">
        <v>34</v>
      </c>
      <c r="EV36" s="116">
        <v>25</v>
      </c>
      <c r="EW36" s="160">
        <v>-1685</v>
      </c>
      <c r="EX36" s="160">
        <v>180</v>
      </c>
      <c r="EY36" s="160">
        <v>8</v>
      </c>
      <c r="EZ36" s="116">
        <v>2230</v>
      </c>
      <c r="FA36" s="116">
        <v>478</v>
      </c>
      <c r="FB36" s="116">
        <v>1993</v>
      </c>
      <c r="FC36" s="160">
        <v>-500</v>
      </c>
      <c r="FD36" s="116">
        <v>1036</v>
      </c>
      <c r="FE36" s="116">
        <v>-1</v>
      </c>
      <c r="FF36" s="3">
        <v>11029</v>
      </c>
      <c r="FG36" s="3">
        <v>7769</v>
      </c>
      <c r="FH36" s="3">
        <v>3260</v>
      </c>
      <c r="FI36" s="3">
        <v>0</v>
      </c>
      <c r="FJ36" s="125">
        <v>11678</v>
      </c>
      <c r="FK36" s="160">
        <v>8984</v>
      </c>
      <c r="FL36" s="125">
        <v>2694</v>
      </c>
      <c r="FM36" s="116">
        <v>0</v>
      </c>
      <c r="FN36" s="125">
        <v>11940</v>
      </c>
      <c r="FO36" s="116">
        <v>9246</v>
      </c>
      <c r="FP36" s="116">
        <v>2694</v>
      </c>
      <c r="FQ36" s="116">
        <v>-363</v>
      </c>
      <c r="FR36" s="153">
        <v>2907</v>
      </c>
      <c r="FS36" s="153">
        <v>2689</v>
      </c>
      <c r="FT36" s="276">
        <v>2451</v>
      </c>
      <c r="FU36" s="3">
        <v>413</v>
      </c>
      <c r="FV36" s="159">
        <v>557</v>
      </c>
      <c r="FW36" s="170"/>
      <c r="FZ36" s="155"/>
      <c r="GA36" s="2"/>
      <c r="GD36" s="163"/>
      <c r="GE36" s="2"/>
      <c r="GF36" s="2"/>
    </row>
    <row r="37" spans="1:188" ht="14.5" x14ac:dyDescent="0.35">
      <c r="A37" s="72">
        <v>106</v>
      </c>
      <c r="B37" s="70" t="s">
        <v>35</v>
      </c>
      <c r="C37" s="158">
        <v>46504</v>
      </c>
      <c r="D37" s="171"/>
      <c r="E37" s="128">
        <v>1.750053809728799</v>
      </c>
      <c r="F37" s="128">
        <v>60.001025428867948</v>
      </c>
      <c r="G37" s="129">
        <v>-5679.8985033545496</v>
      </c>
      <c r="H37" s="216"/>
      <c r="I37" s="172"/>
      <c r="J37" s="218"/>
      <c r="K37" s="128">
        <v>37.790513378384219</v>
      </c>
      <c r="L37" s="129">
        <v>1112.8290039566489</v>
      </c>
      <c r="M37" s="129">
        <v>30.763078992669605</v>
      </c>
      <c r="N37" s="129">
        <v>13203.573886117323</v>
      </c>
      <c r="O37" s="129"/>
      <c r="P37" s="117">
        <v>315013</v>
      </c>
      <c r="Q37" s="161">
        <v>533029</v>
      </c>
      <c r="R37" s="161">
        <v>-71</v>
      </c>
      <c r="S37" s="161">
        <v>-218087</v>
      </c>
      <c r="T37" s="124">
        <v>198798</v>
      </c>
      <c r="U37" s="124">
        <v>51806</v>
      </c>
      <c r="V37" s="136"/>
      <c r="X37" s="116">
        <v>-2977</v>
      </c>
      <c r="Y37" s="116">
        <v>-34</v>
      </c>
      <c r="Z37" s="161">
        <v>29506</v>
      </c>
      <c r="AA37" s="116">
        <v>31206</v>
      </c>
      <c r="AB37" s="116">
        <v>0</v>
      </c>
      <c r="AD37" s="161">
        <v>-1700</v>
      </c>
      <c r="AE37" s="117">
        <v>-62</v>
      </c>
      <c r="AF37" s="117">
        <v>-19</v>
      </c>
      <c r="AG37" s="116">
        <v>-216</v>
      </c>
      <c r="AH37" s="116">
        <v>-65</v>
      </c>
      <c r="AI37" s="160">
        <v>-2062</v>
      </c>
      <c r="AJ37" s="161">
        <v>54416</v>
      </c>
      <c r="AK37" s="161">
        <v>21640</v>
      </c>
      <c r="AL37" s="150"/>
      <c r="AM37" s="161">
        <v>963</v>
      </c>
      <c r="AN37" s="161">
        <v>-15567</v>
      </c>
      <c r="AO37" s="160">
        <v>-27270</v>
      </c>
      <c r="AQ37" s="160"/>
      <c r="AR37" s="117"/>
      <c r="AS37" s="117"/>
      <c r="AT37" s="99">
        <v>19.75</v>
      </c>
      <c r="AU37" s="130"/>
      <c r="AV37" s="262">
        <v>97</v>
      </c>
      <c r="AW37" s="267">
        <v>46470</v>
      </c>
      <c r="AX37" s="124"/>
      <c r="AY37" s="255">
        <v>0.88630328779027667</v>
      </c>
      <c r="AZ37" s="259">
        <v>74.766907735004679</v>
      </c>
      <c r="BA37" s="160">
        <v>-6619.1091026468685</v>
      </c>
      <c r="BB37" s="130"/>
      <c r="BC37" s="130"/>
      <c r="BD37" s="130"/>
      <c r="BE37" s="128">
        <v>32.210940668781127</v>
      </c>
      <c r="BF37" s="160">
        <v>1315.5369055304498</v>
      </c>
      <c r="BG37" s="129">
        <v>31.25303403580121</v>
      </c>
      <c r="BH37" s="131">
        <v>13006.089950505702</v>
      </c>
      <c r="BI37" s="124"/>
      <c r="BJ37" s="117">
        <v>289935</v>
      </c>
      <c r="BK37" s="117">
        <v>522902</v>
      </c>
      <c r="BL37" s="161">
        <v>124</v>
      </c>
      <c r="BM37" s="161">
        <v>-232843</v>
      </c>
      <c r="BN37" s="117">
        <v>198284</v>
      </c>
      <c r="BO37" s="117">
        <v>52983</v>
      </c>
      <c r="BP37" s="136"/>
      <c r="BR37" s="160">
        <v>-3293</v>
      </c>
      <c r="BS37" s="160">
        <v>-88</v>
      </c>
      <c r="BT37" s="161">
        <v>15043</v>
      </c>
      <c r="BU37" s="125">
        <v>32570</v>
      </c>
      <c r="BV37" s="160">
        <v>0</v>
      </c>
      <c r="BX37" s="161">
        <v>-17527</v>
      </c>
      <c r="BY37" s="161">
        <v>-643</v>
      </c>
      <c r="BZ37" s="160">
        <v>0</v>
      </c>
      <c r="CA37" s="160">
        <v>407</v>
      </c>
      <c r="CB37" s="160">
        <v>-238</v>
      </c>
      <c r="CC37" s="160">
        <v>-18815</v>
      </c>
      <c r="CD37" s="160">
        <v>35601</v>
      </c>
      <c r="CE37" s="116">
        <v>11039</v>
      </c>
      <c r="CF37" s="150"/>
      <c r="CG37" s="161">
        <v>-12429</v>
      </c>
      <c r="CH37" s="160">
        <v>-17398</v>
      </c>
      <c r="CI37" s="159">
        <v>-42651</v>
      </c>
      <c r="CK37" s="124"/>
      <c r="CL37" s="161"/>
      <c r="CM37" s="124"/>
      <c r="CN37" s="265">
        <v>19.75</v>
      </c>
      <c r="CO37" s="130"/>
      <c r="CP37" s="116">
        <v>198</v>
      </c>
      <c r="CQ37" s="267">
        <v>46576</v>
      </c>
      <c r="CR37" s="124"/>
      <c r="CS37" s="268">
        <v>1.5765640669598087</v>
      </c>
      <c r="CT37" s="269">
        <v>72.531071169221036</v>
      </c>
      <c r="CU37" s="160">
        <v>-7097.6683270353833</v>
      </c>
      <c r="CV37" s="130"/>
      <c r="CW37" s="130"/>
      <c r="CX37" s="130"/>
      <c r="CY37" s="269">
        <v>31.431296052695057</v>
      </c>
      <c r="CZ37" s="125">
        <v>1301.9580900034352</v>
      </c>
      <c r="DA37" s="125">
        <v>35.332297854067662</v>
      </c>
      <c r="DB37" s="273">
        <v>13449.866884232222</v>
      </c>
      <c r="DC37" s="124"/>
      <c r="DD37" s="117">
        <v>292088</v>
      </c>
      <c r="DE37" s="117">
        <v>534798</v>
      </c>
      <c r="DF37" s="117">
        <v>65</v>
      </c>
      <c r="DG37" s="117">
        <v>-242645</v>
      </c>
      <c r="DH37" s="117">
        <v>210261</v>
      </c>
      <c r="DI37" s="117">
        <v>73265</v>
      </c>
      <c r="DJ37" s="136"/>
      <c r="DL37" s="160">
        <v>-3331</v>
      </c>
      <c r="DM37" s="160">
        <v>-35</v>
      </c>
      <c r="DN37" s="161">
        <v>37515</v>
      </c>
      <c r="DO37" s="116">
        <v>34992</v>
      </c>
      <c r="DP37" s="160">
        <v>0</v>
      </c>
      <c r="DR37" s="161">
        <v>2523</v>
      </c>
      <c r="DS37" s="117">
        <v>-207</v>
      </c>
      <c r="DT37" s="116">
        <v>0</v>
      </c>
      <c r="DU37" s="116">
        <v>604</v>
      </c>
      <c r="DV37" s="116">
        <v>-163</v>
      </c>
      <c r="DW37" s="160">
        <v>1549</v>
      </c>
      <c r="DX37" s="160">
        <v>37151</v>
      </c>
      <c r="DY37" s="116">
        <v>39152</v>
      </c>
      <c r="DZ37" s="150"/>
      <c r="EA37" s="117">
        <v>9638</v>
      </c>
      <c r="EB37" s="116">
        <v>-22567</v>
      </c>
      <c r="EC37" s="159">
        <v>-21902</v>
      </c>
      <c r="EE37" s="125"/>
      <c r="EF37" s="161"/>
      <c r="EG37" s="124"/>
      <c r="EH37" s="253">
        <v>19.75</v>
      </c>
      <c r="EI37" s="130"/>
      <c r="EJ37" s="125">
        <v>219</v>
      </c>
      <c r="EK37" s="116"/>
      <c r="EL37" s="159"/>
      <c r="EN37" s="116"/>
      <c r="EO37" s="116"/>
      <c r="EP37" s="159"/>
      <c r="EQ37" s="159">
        <v>-61875</v>
      </c>
      <c r="ER37" s="116">
        <v>1043</v>
      </c>
      <c r="ES37" s="116">
        <v>11922</v>
      </c>
      <c r="ET37" s="160">
        <v>-60209</v>
      </c>
      <c r="EU37" s="116">
        <v>73</v>
      </c>
      <c r="EV37" s="116">
        <v>6446</v>
      </c>
      <c r="EW37" s="160">
        <v>-65184</v>
      </c>
      <c r="EX37" s="160">
        <v>449</v>
      </c>
      <c r="EY37" s="160">
        <v>3681</v>
      </c>
      <c r="EZ37" s="116">
        <v>40302</v>
      </c>
      <c r="FA37" s="116">
        <v>-1634</v>
      </c>
      <c r="FB37" s="116">
        <v>53097</v>
      </c>
      <c r="FC37" s="160">
        <v>6186</v>
      </c>
      <c r="FD37" s="116">
        <v>21600</v>
      </c>
      <c r="FE37" s="116">
        <v>18842</v>
      </c>
      <c r="FF37" s="3">
        <v>259590</v>
      </c>
      <c r="FG37" s="3">
        <v>242417</v>
      </c>
      <c r="FH37" s="3">
        <v>17173</v>
      </c>
      <c r="FI37" s="3">
        <v>1974</v>
      </c>
      <c r="FJ37" s="125">
        <v>301476</v>
      </c>
      <c r="FK37" s="160">
        <v>272906</v>
      </c>
      <c r="FL37" s="125">
        <v>28570</v>
      </c>
      <c r="FM37" s="116">
        <v>1942</v>
      </c>
      <c r="FN37" s="125">
        <v>319350</v>
      </c>
      <c r="FO37" s="116">
        <v>268699</v>
      </c>
      <c r="FP37" s="116">
        <v>50651</v>
      </c>
      <c r="FQ37" s="116">
        <v>9638</v>
      </c>
      <c r="FR37" s="153">
        <v>5581</v>
      </c>
      <c r="FS37" s="153">
        <v>2688</v>
      </c>
      <c r="FT37" s="276">
        <v>2426</v>
      </c>
      <c r="FU37" s="3">
        <v>53394</v>
      </c>
      <c r="FV37" s="159">
        <v>80209</v>
      </c>
      <c r="FW37" s="170"/>
      <c r="FZ37" s="155"/>
      <c r="GA37" s="2"/>
      <c r="GD37" s="163"/>
      <c r="GE37" s="2"/>
      <c r="GF37" s="2"/>
    </row>
    <row r="38" spans="1:188" ht="14.5" x14ac:dyDescent="0.35">
      <c r="A38" s="72">
        <v>108</v>
      </c>
      <c r="B38" s="70" t="s">
        <v>36</v>
      </c>
      <c r="C38" s="158">
        <v>10510</v>
      </c>
      <c r="D38" s="171"/>
      <c r="E38" s="128">
        <v>2.2994112699747689</v>
      </c>
      <c r="F38" s="128">
        <v>83.015816867956943</v>
      </c>
      <c r="G38" s="129">
        <v>-6160.5137963843954</v>
      </c>
      <c r="H38" s="216"/>
      <c r="I38" s="172"/>
      <c r="J38" s="218"/>
      <c r="K38" s="128">
        <v>30.599542409158378</v>
      </c>
      <c r="L38" s="129">
        <v>1141.4843006660324</v>
      </c>
      <c r="M38" s="129">
        <v>40.345928464812872</v>
      </c>
      <c r="N38" s="129">
        <v>10326.7364414843</v>
      </c>
      <c r="O38" s="129"/>
      <c r="P38" s="117">
        <v>40010</v>
      </c>
      <c r="Q38" s="161">
        <v>91156</v>
      </c>
      <c r="R38" s="161">
        <v>7</v>
      </c>
      <c r="S38" s="161">
        <v>-51139</v>
      </c>
      <c r="T38" s="124">
        <v>37360</v>
      </c>
      <c r="U38" s="124">
        <v>21575</v>
      </c>
      <c r="V38" s="136"/>
      <c r="X38" s="116">
        <v>-363</v>
      </c>
      <c r="Y38" s="116">
        <v>367</v>
      </c>
      <c r="Z38" s="161">
        <v>7800</v>
      </c>
      <c r="AA38" s="116">
        <v>6895</v>
      </c>
      <c r="AB38" s="117">
        <v>0</v>
      </c>
      <c r="AD38" s="161">
        <v>905</v>
      </c>
      <c r="AE38" s="117">
        <v>-87</v>
      </c>
      <c r="AF38" s="117">
        <v>1</v>
      </c>
      <c r="AG38" s="116">
        <v>-67</v>
      </c>
      <c r="AH38" s="116">
        <v>-43</v>
      </c>
      <c r="AI38" s="160">
        <v>709</v>
      </c>
      <c r="AJ38" s="161">
        <v>5974</v>
      </c>
      <c r="AK38" s="161">
        <v>7606</v>
      </c>
      <c r="AL38" s="150"/>
      <c r="AM38" s="161">
        <v>-227</v>
      </c>
      <c r="AN38" s="161">
        <v>-3165</v>
      </c>
      <c r="AO38" s="160">
        <v>-4929</v>
      </c>
      <c r="AQ38" s="160"/>
      <c r="AR38" s="117"/>
      <c r="AS38" s="117"/>
      <c r="AT38" s="99">
        <v>22</v>
      </c>
      <c r="AU38" s="130"/>
      <c r="AV38" s="262">
        <v>65</v>
      </c>
      <c r="AW38" s="267">
        <v>10404</v>
      </c>
      <c r="AX38" s="124"/>
      <c r="AY38" s="255">
        <v>0.2721359630717583</v>
      </c>
      <c r="AZ38" s="259">
        <v>82.303328480345399</v>
      </c>
      <c r="BA38" s="160">
        <v>-6229.5271049596313</v>
      </c>
      <c r="BB38" s="130"/>
      <c r="BC38" s="130"/>
      <c r="BD38" s="130"/>
      <c r="BE38" s="128">
        <v>30.995234695402395</v>
      </c>
      <c r="BF38" s="160">
        <v>1195.5978469819299</v>
      </c>
      <c r="BG38" s="129">
        <v>36.030709679491814</v>
      </c>
      <c r="BH38" s="131">
        <v>11968.569780853517</v>
      </c>
      <c r="BI38" s="124"/>
      <c r="BJ38" s="117">
        <v>37807</v>
      </c>
      <c r="BK38" s="117">
        <v>93335</v>
      </c>
      <c r="BL38" s="161">
        <v>30</v>
      </c>
      <c r="BM38" s="161">
        <v>-55498</v>
      </c>
      <c r="BN38" s="117">
        <v>37812</v>
      </c>
      <c r="BO38" s="117">
        <v>23976</v>
      </c>
      <c r="BP38" s="136"/>
      <c r="BR38" s="160">
        <v>-379</v>
      </c>
      <c r="BS38" s="160">
        <v>170</v>
      </c>
      <c r="BT38" s="161">
        <v>6081</v>
      </c>
      <c r="BU38" s="125">
        <v>7207</v>
      </c>
      <c r="BV38" s="161">
        <v>0</v>
      </c>
      <c r="BX38" s="161">
        <v>-1126</v>
      </c>
      <c r="BY38" s="161">
        <v>-78</v>
      </c>
      <c r="BZ38" s="160">
        <v>0</v>
      </c>
      <c r="CA38" s="160">
        <v>58</v>
      </c>
      <c r="CB38" s="160">
        <v>-53</v>
      </c>
      <c r="CC38" s="160">
        <v>-1315</v>
      </c>
      <c r="CD38" s="160">
        <v>4926</v>
      </c>
      <c r="CE38" s="116">
        <v>5666</v>
      </c>
      <c r="CF38" s="150"/>
      <c r="CG38" s="160">
        <v>669</v>
      </c>
      <c r="CH38" s="160">
        <v>-23426</v>
      </c>
      <c r="CI38" s="159">
        <v>-369</v>
      </c>
      <c r="CK38" s="124"/>
      <c r="CL38" s="161"/>
      <c r="CM38" s="124"/>
      <c r="CN38" s="265">
        <v>22</v>
      </c>
      <c r="CO38" s="130"/>
      <c r="CP38" s="116">
        <v>93</v>
      </c>
      <c r="CQ38" s="267">
        <v>10344</v>
      </c>
      <c r="CR38" s="124"/>
      <c r="CS38" s="268">
        <v>5.9761904761904763</v>
      </c>
      <c r="CT38" s="269">
        <v>77.257781053347699</v>
      </c>
      <c r="CU38" s="160">
        <v>-5833.4300077339522</v>
      </c>
      <c r="CV38" s="130"/>
      <c r="CW38" s="130"/>
      <c r="CX38" s="130"/>
      <c r="CY38" s="269">
        <v>32.026213480749988</v>
      </c>
      <c r="CZ38" s="125">
        <v>1494.2962103634959</v>
      </c>
      <c r="DA38" s="125">
        <v>54.733888258292346</v>
      </c>
      <c r="DB38" s="273">
        <v>9964.907192575407</v>
      </c>
      <c r="DC38" s="124"/>
      <c r="DD38" s="117">
        <v>39065</v>
      </c>
      <c r="DE38" s="117">
        <v>96609</v>
      </c>
      <c r="DF38" s="117">
        <v>65</v>
      </c>
      <c r="DG38" s="117">
        <v>-57479</v>
      </c>
      <c r="DH38" s="117">
        <v>38953</v>
      </c>
      <c r="DI38" s="117">
        <v>27816</v>
      </c>
      <c r="DJ38" s="136"/>
      <c r="DL38" s="160">
        <v>-479</v>
      </c>
      <c r="DM38" s="160">
        <v>235</v>
      </c>
      <c r="DN38" s="161">
        <v>9046</v>
      </c>
      <c r="DO38" s="116">
        <v>7178</v>
      </c>
      <c r="DP38" s="161">
        <v>0</v>
      </c>
      <c r="DR38" s="161">
        <v>1868</v>
      </c>
      <c r="DS38" s="117">
        <v>-225</v>
      </c>
      <c r="DT38" s="116">
        <v>309</v>
      </c>
      <c r="DU38" s="116">
        <v>142</v>
      </c>
      <c r="DV38" s="116">
        <v>-1</v>
      </c>
      <c r="DW38" s="160">
        <v>1809</v>
      </c>
      <c r="DX38" s="160">
        <v>6507</v>
      </c>
      <c r="DY38" s="116">
        <v>8716</v>
      </c>
      <c r="DZ38" s="150"/>
      <c r="EA38" s="116">
        <v>-1249</v>
      </c>
      <c r="EB38" s="116">
        <v>-1104</v>
      </c>
      <c r="EC38" s="159">
        <v>4496</v>
      </c>
      <c r="EE38" s="125"/>
      <c r="EF38" s="161"/>
      <c r="EG38" s="124"/>
      <c r="EH38" s="253">
        <v>22</v>
      </c>
      <c r="EI38" s="130"/>
      <c r="EJ38" s="125">
        <v>200</v>
      </c>
      <c r="EK38" s="116"/>
      <c r="EL38" s="159"/>
      <c r="EN38" s="116"/>
      <c r="EO38" s="116"/>
      <c r="EP38" s="159"/>
      <c r="EQ38" s="159">
        <v>-13636</v>
      </c>
      <c r="ER38" s="116">
        <v>490</v>
      </c>
      <c r="ES38" s="116">
        <v>611</v>
      </c>
      <c r="ET38" s="160">
        <v>-7111</v>
      </c>
      <c r="EU38" s="116">
        <v>975</v>
      </c>
      <c r="EV38" s="116">
        <v>101</v>
      </c>
      <c r="EW38" s="160">
        <v>-4631</v>
      </c>
      <c r="EX38" s="160">
        <v>265</v>
      </c>
      <c r="EY38" s="160">
        <v>146</v>
      </c>
      <c r="EZ38" s="116">
        <v>4386</v>
      </c>
      <c r="FA38" s="116">
        <v>4104</v>
      </c>
      <c r="FB38" s="116">
        <v>2124</v>
      </c>
      <c r="FC38" s="160">
        <v>21280</v>
      </c>
      <c r="FD38" s="116">
        <v>33494</v>
      </c>
      <c r="FE38" s="116">
        <v>-34053</v>
      </c>
      <c r="FF38" s="3">
        <v>67089</v>
      </c>
      <c r="FG38" s="3">
        <v>47620</v>
      </c>
      <c r="FH38" s="3">
        <v>19469</v>
      </c>
      <c r="FI38" s="3">
        <v>27</v>
      </c>
      <c r="FJ38" s="125">
        <v>67088</v>
      </c>
      <c r="FK38" s="160">
        <v>26175</v>
      </c>
      <c r="FL38" s="125">
        <v>40913</v>
      </c>
      <c r="FM38" s="116">
        <v>24</v>
      </c>
      <c r="FN38" s="125">
        <v>65727</v>
      </c>
      <c r="FO38" s="116">
        <v>56748</v>
      </c>
      <c r="FP38" s="116">
        <v>8979</v>
      </c>
      <c r="FQ38" s="116">
        <v>-1249</v>
      </c>
      <c r="FR38" s="153">
        <v>84</v>
      </c>
      <c r="FS38" s="153">
        <v>0</v>
      </c>
      <c r="FT38" s="276">
        <v>0</v>
      </c>
      <c r="FU38" s="3">
        <v>4640</v>
      </c>
      <c r="FV38" s="159">
        <v>5376</v>
      </c>
      <c r="FW38" s="170"/>
      <c r="FZ38" s="155"/>
      <c r="GA38" s="2"/>
      <c r="GD38" s="163"/>
      <c r="GE38" s="2"/>
      <c r="GF38" s="2"/>
    </row>
    <row r="39" spans="1:188" ht="14.5" x14ac:dyDescent="0.35">
      <c r="A39" s="72">
        <v>109</v>
      </c>
      <c r="B39" s="70" t="s">
        <v>37</v>
      </c>
      <c r="C39" s="158">
        <v>67532</v>
      </c>
      <c r="D39" s="171"/>
      <c r="E39" s="128">
        <v>0.85437489040855685</v>
      </c>
      <c r="F39" s="128">
        <v>86.05664242778991</v>
      </c>
      <c r="G39" s="129">
        <v>-5422.6292720488063</v>
      </c>
      <c r="H39" s="216"/>
      <c r="I39" s="172"/>
      <c r="J39" s="218"/>
      <c r="K39" s="128">
        <v>38.073286592656963</v>
      </c>
      <c r="L39" s="129">
        <v>1859.1186400521233</v>
      </c>
      <c r="M39" s="129">
        <v>65.535761274969687</v>
      </c>
      <c r="N39" s="129">
        <v>10354.320914529408</v>
      </c>
      <c r="O39" s="129"/>
      <c r="P39" s="117">
        <v>229427</v>
      </c>
      <c r="Q39" s="161">
        <v>577780</v>
      </c>
      <c r="R39" s="161">
        <v>590</v>
      </c>
      <c r="S39" s="161">
        <v>-347763</v>
      </c>
      <c r="T39" s="124">
        <v>278719</v>
      </c>
      <c r="U39" s="124">
        <v>113720</v>
      </c>
      <c r="V39" s="136"/>
      <c r="X39" s="116">
        <v>-9301</v>
      </c>
      <c r="Y39" s="116">
        <v>3456</v>
      </c>
      <c r="Z39" s="161">
        <v>38831</v>
      </c>
      <c r="AA39" s="116">
        <v>50268</v>
      </c>
      <c r="AB39" s="116">
        <v>0</v>
      </c>
      <c r="AD39" s="161">
        <v>-11437</v>
      </c>
      <c r="AE39" s="117">
        <v>-162</v>
      </c>
      <c r="AF39" s="117">
        <v>7469</v>
      </c>
      <c r="AG39" s="116">
        <v>-106</v>
      </c>
      <c r="AH39" s="117">
        <v>-77</v>
      </c>
      <c r="AI39" s="160">
        <v>-4313</v>
      </c>
      <c r="AJ39" s="161">
        <v>3715</v>
      </c>
      <c r="AK39" s="161">
        <v>30936</v>
      </c>
      <c r="AL39" s="150"/>
      <c r="AM39" s="161">
        <v>-2512</v>
      </c>
      <c r="AN39" s="161">
        <v>-47136</v>
      </c>
      <c r="AO39" s="160">
        <v>-11262</v>
      </c>
      <c r="AQ39" s="160"/>
      <c r="AR39" s="117"/>
      <c r="AS39" s="117"/>
      <c r="AT39" s="99">
        <v>20.75</v>
      </c>
      <c r="AU39" s="130"/>
      <c r="AV39" s="262">
        <v>123</v>
      </c>
      <c r="AW39" s="267">
        <v>67633</v>
      </c>
      <c r="AX39" s="124"/>
      <c r="AY39" s="255">
        <v>0.5250479808859817</v>
      </c>
      <c r="AZ39" s="259">
        <v>92.978111081748281</v>
      </c>
      <c r="BA39" s="160">
        <v>-5934.1445743941567</v>
      </c>
      <c r="BB39" s="130"/>
      <c r="BC39" s="130"/>
      <c r="BD39" s="130"/>
      <c r="BE39" s="128">
        <v>37.40453642889873</v>
      </c>
      <c r="BF39" s="160">
        <v>1978.2206910827556</v>
      </c>
      <c r="BG39" s="129">
        <v>62.3338810554351</v>
      </c>
      <c r="BH39" s="131">
        <v>10869.930359439917</v>
      </c>
      <c r="BI39" s="124"/>
      <c r="BJ39" s="117">
        <v>226363</v>
      </c>
      <c r="BK39" s="117">
        <v>588799</v>
      </c>
      <c r="BL39" s="161">
        <v>885</v>
      </c>
      <c r="BM39" s="161">
        <v>-361551</v>
      </c>
      <c r="BN39" s="117">
        <v>281063</v>
      </c>
      <c r="BO39" s="117">
        <v>113162</v>
      </c>
      <c r="BP39" s="136"/>
      <c r="BR39" s="160">
        <v>-8974</v>
      </c>
      <c r="BS39" s="160">
        <v>6893</v>
      </c>
      <c r="BT39" s="161">
        <v>30593</v>
      </c>
      <c r="BU39" s="125">
        <v>45777</v>
      </c>
      <c r="BV39" s="160">
        <v>0</v>
      </c>
      <c r="BW39" s="117"/>
      <c r="BX39" s="161">
        <v>-15184</v>
      </c>
      <c r="BY39" s="161">
        <v>-466</v>
      </c>
      <c r="BZ39" s="161">
        <v>-204</v>
      </c>
      <c r="CA39" s="161">
        <v>230</v>
      </c>
      <c r="CB39" s="161">
        <v>94</v>
      </c>
      <c r="CC39" s="160">
        <v>-15990</v>
      </c>
      <c r="CD39" s="160">
        <v>-14769</v>
      </c>
      <c r="CE39" s="116">
        <v>23939</v>
      </c>
      <c r="CF39" s="150"/>
      <c r="CG39" s="161">
        <v>2647</v>
      </c>
      <c r="CH39" s="160">
        <v>-66971</v>
      </c>
      <c r="CI39" s="159">
        <v>-36325</v>
      </c>
      <c r="CK39" s="124"/>
      <c r="CL39" s="161"/>
      <c r="CM39" s="124"/>
      <c r="CN39" s="265">
        <v>20.75</v>
      </c>
      <c r="CO39" s="130"/>
      <c r="CP39" s="116">
        <v>139</v>
      </c>
      <c r="CQ39" s="267">
        <v>67848</v>
      </c>
      <c r="CR39" s="124"/>
      <c r="CS39" s="268">
        <v>1.2111594789768509</v>
      </c>
      <c r="CT39" s="269">
        <v>93.257885028274217</v>
      </c>
      <c r="CU39" s="160">
        <v>-5882.2515033604532</v>
      </c>
      <c r="CV39" s="130"/>
      <c r="CW39" s="130"/>
      <c r="CX39" s="130"/>
      <c r="CY39" s="269">
        <v>36.782586915138765</v>
      </c>
      <c r="CZ39" s="125">
        <v>2637.0121447942456</v>
      </c>
      <c r="DA39" s="125">
        <v>90.459874084899198</v>
      </c>
      <c r="DB39" s="273">
        <v>10640.180992807451</v>
      </c>
      <c r="DC39" s="124"/>
      <c r="DD39" s="117">
        <v>216472</v>
      </c>
      <c r="DE39" s="117">
        <v>592943</v>
      </c>
      <c r="DF39" s="117">
        <v>368</v>
      </c>
      <c r="DG39" s="117">
        <v>-376103</v>
      </c>
      <c r="DH39" s="117">
        <v>297480</v>
      </c>
      <c r="DI39" s="117">
        <v>147428</v>
      </c>
      <c r="DJ39" s="136"/>
      <c r="DL39" s="160">
        <v>-8972</v>
      </c>
      <c r="DM39" s="160">
        <v>2529</v>
      </c>
      <c r="DN39" s="161">
        <v>62362</v>
      </c>
      <c r="DO39" s="116">
        <v>47611</v>
      </c>
      <c r="DP39" s="160">
        <v>0</v>
      </c>
      <c r="DQ39" s="117"/>
      <c r="DR39" s="161">
        <v>14751</v>
      </c>
      <c r="DS39" s="117">
        <v>-275</v>
      </c>
      <c r="DT39" s="117">
        <v>2786</v>
      </c>
      <c r="DU39" s="117">
        <v>333</v>
      </c>
      <c r="DV39" s="117">
        <v>256</v>
      </c>
      <c r="DW39" s="160">
        <v>17185</v>
      </c>
      <c r="DX39" s="160">
        <v>2390</v>
      </c>
      <c r="DY39" s="116">
        <v>60957</v>
      </c>
      <c r="DZ39" s="150"/>
      <c r="EA39" s="117">
        <v>3087</v>
      </c>
      <c r="EB39" s="116">
        <v>-49847</v>
      </c>
      <c r="EC39" s="159">
        <v>928</v>
      </c>
      <c r="EE39" s="125"/>
      <c r="EF39" s="161"/>
      <c r="EG39" s="124"/>
      <c r="EH39" s="253">
        <v>21</v>
      </c>
      <c r="EI39" s="130"/>
      <c r="EJ39" s="125">
        <v>178</v>
      </c>
      <c r="EK39" s="116"/>
      <c r="EL39" s="159"/>
      <c r="EN39" s="116"/>
      <c r="EO39" s="116"/>
      <c r="EP39" s="159"/>
      <c r="EQ39" s="159">
        <v>-61347</v>
      </c>
      <c r="ER39" s="116">
        <v>272</v>
      </c>
      <c r="ES39" s="116">
        <v>18877</v>
      </c>
      <c r="ET39" s="160">
        <v>-69189</v>
      </c>
      <c r="EU39" s="116">
        <v>661</v>
      </c>
      <c r="EV39" s="116">
        <v>8264</v>
      </c>
      <c r="EW39" s="160">
        <v>-68345</v>
      </c>
      <c r="EX39" s="160">
        <v>1002</v>
      </c>
      <c r="EY39" s="160">
        <v>7314</v>
      </c>
      <c r="EZ39" s="116">
        <v>64307</v>
      </c>
      <c r="FA39" s="116">
        <v>-4102</v>
      </c>
      <c r="FB39" s="116">
        <v>87935</v>
      </c>
      <c r="FC39" s="160">
        <v>18114</v>
      </c>
      <c r="FD39" s="116">
        <v>89048</v>
      </c>
      <c r="FE39" s="116">
        <v>-823</v>
      </c>
      <c r="FF39" s="3">
        <v>432523</v>
      </c>
      <c r="FG39" s="3">
        <v>362552</v>
      </c>
      <c r="FH39" s="3">
        <v>69971</v>
      </c>
      <c r="FI39" s="3">
        <v>1213</v>
      </c>
      <c r="FJ39" s="125">
        <v>471602</v>
      </c>
      <c r="FK39" s="160">
        <v>382626</v>
      </c>
      <c r="FL39" s="125">
        <v>88976</v>
      </c>
      <c r="FM39" s="116">
        <v>947</v>
      </c>
      <c r="FN39" s="125">
        <v>509504</v>
      </c>
      <c r="FO39" s="116">
        <v>422747</v>
      </c>
      <c r="FP39" s="116">
        <v>86757</v>
      </c>
      <c r="FQ39" s="116">
        <v>3087</v>
      </c>
      <c r="FR39" s="153">
        <v>17963</v>
      </c>
      <c r="FS39" s="153">
        <v>16701</v>
      </c>
      <c r="FT39" s="276">
        <v>15888</v>
      </c>
      <c r="FU39" s="3">
        <v>77561</v>
      </c>
      <c r="FV39" s="159">
        <v>74733</v>
      </c>
      <c r="FW39" s="170"/>
      <c r="FZ39" s="155"/>
      <c r="GA39" s="2"/>
      <c r="GD39" s="163"/>
      <c r="GE39" s="2"/>
      <c r="GF39" s="2"/>
    </row>
    <row r="40" spans="1:188" ht="14.5" x14ac:dyDescent="0.35">
      <c r="A40" s="72">
        <v>139</v>
      </c>
      <c r="B40" s="70" t="s">
        <v>39</v>
      </c>
      <c r="C40" s="158">
        <v>9862</v>
      </c>
      <c r="D40" s="171"/>
      <c r="E40" s="128">
        <v>0.56060606060606055</v>
      </c>
      <c r="F40" s="128">
        <v>66.058222128309737</v>
      </c>
      <c r="G40" s="129">
        <v>-6586.5950111539241</v>
      </c>
      <c r="H40" s="216"/>
      <c r="I40" s="172"/>
      <c r="J40" s="218"/>
      <c r="K40" s="128">
        <v>33.581546253066392</v>
      </c>
      <c r="L40" s="129">
        <v>820.4218211316163</v>
      </c>
      <c r="M40" s="129">
        <v>21.068959613038544</v>
      </c>
      <c r="N40" s="129">
        <v>14213.03995132833</v>
      </c>
      <c r="O40" s="129"/>
      <c r="P40" s="117">
        <v>60810</v>
      </c>
      <c r="Q40" s="161">
        <v>118217</v>
      </c>
      <c r="R40" s="161">
        <v>3</v>
      </c>
      <c r="S40" s="161">
        <v>-57404</v>
      </c>
      <c r="T40" s="124">
        <v>32091</v>
      </c>
      <c r="U40" s="124">
        <v>30145</v>
      </c>
      <c r="V40" s="136"/>
      <c r="X40" s="116">
        <v>-631</v>
      </c>
      <c r="Y40" s="116">
        <v>205</v>
      </c>
      <c r="Z40" s="161">
        <v>4406</v>
      </c>
      <c r="AA40" s="116">
        <v>6056</v>
      </c>
      <c r="AB40" s="116">
        <v>486</v>
      </c>
      <c r="AD40" s="161">
        <v>-1164</v>
      </c>
      <c r="AE40" s="116">
        <v>-7</v>
      </c>
      <c r="AF40" s="116">
        <v>-52</v>
      </c>
      <c r="AG40" s="116">
        <v>-6</v>
      </c>
      <c r="AH40" s="116">
        <v>-53</v>
      </c>
      <c r="AI40" s="160">
        <v>-1282</v>
      </c>
      <c r="AJ40" s="161">
        <v>13144</v>
      </c>
      <c r="AK40" s="161">
        <v>3782</v>
      </c>
      <c r="AL40" s="150"/>
      <c r="AM40" s="161">
        <v>-23</v>
      </c>
      <c r="AN40" s="161">
        <v>-8379</v>
      </c>
      <c r="AO40" s="160">
        <v>-7047</v>
      </c>
      <c r="AQ40" s="160"/>
      <c r="AR40" s="117"/>
      <c r="AS40" s="117"/>
      <c r="AT40" s="99">
        <v>21.25</v>
      </c>
      <c r="AU40" s="130"/>
      <c r="AV40" s="262">
        <v>162</v>
      </c>
      <c r="AW40" s="267">
        <v>9844</v>
      </c>
      <c r="AX40" s="124"/>
      <c r="AY40" s="255">
        <v>0.52929000206996479</v>
      </c>
      <c r="AZ40" s="259">
        <v>68.284227425371682</v>
      </c>
      <c r="BA40" s="160">
        <v>-7192.4014628199911</v>
      </c>
      <c r="BB40" s="130"/>
      <c r="BC40" s="130"/>
      <c r="BD40" s="130"/>
      <c r="BE40" s="128">
        <v>31.123000350081433</v>
      </c>
      <c r="BF40" s="160">
        <v>773.56765542462415</v>
      </c>
      <c r="BG40" s="129">
        <v>20.288225716699984</v>
      </c>
      <c r="BH40" s="131">
        <v>14786.976838683462</v>
      </c>
      <c r="BI40" s="124"/>
      <c r="BJ40" s="117">
        <v>64618</v>
      </c>
      <c r="BK40" s="117">
        <v>124010</v>
      </c>
      <c r="BL40" s="161">
        <v>4</v>
      </c>
      <c r="BM40" s="161">
        <v>-59388</v>
      </c>
      <c r="BN40" s="117">
        <v>33886</v>
      </c>
      <c r="BO40" s="117">
        <v>30435</v>
      </c>
      <c r="BP40" s="136"/>
      <c r="BR40" s="160">
        <v>-481</v>
      </c>
      <c r="BS40" s="160">
        <v>143</v>
      </c>
      <c r="BT40" s="161">
        <v>4595</v>
      </c>
      <c r="BU40" s="125">
        <v>6895</v>
      </c>
      <c r="BV40" s="160">
        <v>0</v>
      </c>
      <c r="BX40" s="161">
        <v>-2300</v>
      </c>
      <c r="BY40" s="160">
        <v>-6</v>
      </c>
      <c r="BZ40" s="160">
        <v>-6</v>
      </c>
      <c r="CA40" s="160">
        <v>5</v>
      </c>
      <c r="CB40" s="160">
        <v>-59</v>
      </c>
      <c r="CC40" s="160">
        <v>-2376</v>
      </c>
      <c r="CD40" s="160">
        <v>11308</v>
      </c>
      <c r="CE40" s="116">
        <v>5047</v>
      </c>
      <c r="CF40" s="150"/>
      <c r="CG40" s="160">
        <v>-510</v>
      </c>
      <c r="CH40" s="160">
        <v>-9143</v>
      </c>
      <c r="CI40" s="159">
        <v>-5594</v>
      </c>
      <c r="CK40" s="124"/>
      <c r="CL40" s="161"/>
      <c r="CM40" s="124"/>
      <c r="CN40" s="265">
        <v>21.25</v>
      </c>
      <c r="CO40" s="130"/>
      <c r="CP40" s="116">
        <v>134</v>
      </c>
      <c r="CQ40" s="267">
        <v>9848</v>
      </c>
      <c r="CR40" s="124"/>
      <c r="CS40" s="268">
        <v>0.9387439789148414</v>
      </c>
      <c r="CT40" s="269">
        <v>70.916963567829924</v>
      </c>
      <c r="CU40" s="160">
        <v>-7367.1811535337119</v>
      </c>
      <c r="CV40" s="130"/>
      <c r="CW40" s="130"/>
      <c r="CX40" s="130"/>
      <c r="CY40" s="269">
        <v>30.37228629579376</v>
      </c>
      <c r="CZ40" s="125">
        <v>1568.9480097481724</v>
      </c>
      <c r="DA40" s="125">
        <v>38.132560262348285</v>
      </c>
      <c r="DB40" s="273">
        <v>15017.770105605199</v>
      </c>
      <c r="DC40" s="124"/>
      <c r="DD40" s="117">
        <v>64481</v>
      </c>
      <c r="DE40" s="117">
        <v>125354</v>
      </c>
      <c r="DF40" s="117">
        <v>-28</v>
      </c>
      <c r="DG40" s="117">
        <v>-60901</v>
      </c>
      <c r="DH40" s="117">
        <v>34439</v>
      </c>
      <c r="DI40" s="117">
        <v>36647</v>
      </c>
      <c r="DJ40" s="136"/>
      <c r="DL40" s="160">
        <v>-481</v>
      </c>
      <c r="DM40" s="160">
        <v>129</v>
      </c>
      <c r="DN40" s="161">
        <v>9833</v>
      </c>
      <c r="DO40" s="116">
        <v>7612</v>
      </c>
      <c r="DP40" s="160">
        <v>0</v>
      </c>
      <c r="DR40" s="161">
        <v>2221</v>
      </c>
      <c r="DS40" s="116">
        <v>-9</v>
      </c>
      <c r="DT40" s="116">
        <v>34</v>
      </c>
      <c r="DU40" s="116">
        <v>2</v>
      </c>
      <c r="DV40" s="116">
        <v>-114</v>
      </c>
      <c r="DW40" s="160">
        <v>2130</v>
      </c>
      <c r="DX40" s="160">
        <v>13476</v>
      </c>
      <c r="DY40" s="116">
        <v>9902</v>
      </c>
      <c r="DZ40" s="150"/>
      <c r="EA40" s="116">
        <v>2402</v>
      </c>
      <c r="EB40" s="116">
        <v>-10507</v>
      </c>
      <c r="EC40" s="159">
        <v>-1185</v>
      </c>
      <c r="EE40" s="125"/>
      <c r="EF40" s="161"/>
      <c r="EG40" s="124"/>
      <c r="EH40" s="253">
        <v>21.25</v>
      </c>
      <c r="EI40" s="130"/>
      <c r="EJ40" s="125">
        <v>132</v>
      </c>
      <c r="EK40" s="116"/>
      <c r="EL40" s="159"/>
      <c r="EN40" s="116"/>
      <c r="EO40" s="116"/>
      <c r="EP40" s="159"/>
      <c r="EQ40" s="159">
        <v>-12859</v>
      </c>
      <c r="ER40" s="116">
        <v>316</v>
      </c>
      <c r="ES40" s="116">
        <v>1714</v>
      </c>
      <c r="ET40" s="160">
        <v>-11821</v>
      </c>
      <c r="EU40" s="116">
        <v>652</v>
      </c>
      <c r="EV40" s="116">
        <v>528</v>
      </c>
      <c r="EW40" s="160">
        <v>-11471</v>
      </c>
      <c r="EX40" s="160">
        <v>149</v>
      </c>
      <c r="EY40" s="160">
        <v>235</v>
      </c>
      <c r="EZ40" s="116">
        <v>14523</v>
      </c>
      <c r="FA40" s="116">
        <v>-2432</v>
      </c>
      <c r="FB40" s="116">
        <v>13170</v>
      </c>
      <c r="FC40" s="160">
        <v>982</v>
      </c>
      <c r="FD40" s="116">
        <v>23166</v>
      </c>
      <c r="FE40" s="116">
        <v>-7147</v>
      </c>
      <c r="FF40" s="3">
        <v>57005</v>
      </c>
      <c r="FG40" s="3">
        <v>40347</v>
      </c>
      <c r="FH40" s="3">
        <v>16658</v>
      </c>
      <c r="FI40" s="3">
        <v>298</v>
      </c>
      <c r="FJ40" s="125">
        <v>62913</v>
      </c>
      <c r="FK40" s="160">
        <v>45277</v>
      </c>
      <c r="FL40" s="125">
        <v>17636</v>
      </c>
      <c r="FM40" s="116">
        <v>298</v>
      </c>
      <c r="FN40" s="125">
        <v>69295</v>
      </c>
      <c r="FO40" s="116">
        <v>58776</v>
      </c>
      <c r="FP40" s="116">
        <v>10519</v>
      </c>
      <c r="FQ40" s="116">
        <v>2402</v>
      </c>
      <c r="FR40" s="153">
        <v>571</v>
      </c>
      <c r="FS40" s="153">
        <v>428</v>
      </c>
      <c r="FT40" s="276">
        <v>286</v>
      </c>
      <c r="FU40" s="3">
        <v>13301</v>
      </c>
      <c r="FV40" s="159">
        <v>12270</v>
      </c>
      <c r="FW40" s="170"/>
      <c r="FZ40" s="155"/>
      <c r="GA40" s="2"/>
      <c r="GD40" s="163"/>
      <c r="GE40" s="2"/>
      <c r="GF40" s="2"/>
    </row>
    <row r="41" spans="1:188" ht="14.5" x14ac:dyDescent="0.35">
      <c r="A41" s="72">
        <v>140</v>
      </c>
      <c r="B41" s="70" t="s">
        <v>40</v>
      </c>
      <c r="C41" s="158">
        <v>21472</v>
      </c>
      <c r="D41" s="171"/>
      <c r="E41" s="128">
        <v>1.1801918236854636</v>
      </c>
      <c r="F41" s="128">
        <v>55.255926920845006</v>
      </c>
      <c r="G41" s="129">
        <v>-3969.8211624441133</v>
      </c>
      <c r="H41" s="216"/>
      <c r="I41" s="172"/>
      <c r="J41" s="218"/>
      <c r="K41" s="128">
        <v>42.943886654771099</v>
      </c>
      <c r="L41" s="129">
        <v>2118.9456035767512</v>
      </c>
      <c r="M41" s="129">
        <v>59.052592276509493</v>
      </c>
      <c r="N41" s="129">
        <v>13097.056631892696</v>
      </c>
      <c r="O41" s="129"/>
      <c r="P41" s="117">
        <v>118486</v>
      </c>
      <c r="Q41" s="161">
        <v>243970</v>
      </c>
      <c r="R41" s="161">
        <v>571</v>
      </c>
      <c r="S41" s="161">
        <v>-124913</v>
      </c>
      <c r="T41" s="124">
        <v>74684</v>
      </c>
      <c r="U41" s="124">
        <v>67041</v>
      </c>
      <c r="V41" s="136"/>
      <c r="X41" s="116">
        <v>-547</v>
      </c>
      <c r="Y41" s="116">
        <v>426</v>
      </c>
      <c r="Z41" s="161">
        <v>16691</v>
      </c>
      <c r="AA41" s="116">
        <v>15532</v>
      </c>
      <c r="AB41" s="116">
        <v>2327</v>
      </c>
      <c r="AD41" s="161">
        <v>3486</v>
      </c>
      <c r="AE41" s="117">
        <v>-9</v>
      </c>
      <c r="AF41" s="117">
        <v>400</v>
      </c>
      <c r="AG41" s="116">
        <v>-11</v>
      </c>
      <c r="AH41" s="117">
        <v>-202</v>
      </c>
      <c r="AI41" s="160">
        <v>3664</v>
      </c>
      <c r="AJ41" s="161">
        <v>36042</v>
      </c>
      <c r="AK41" s="161">
        <v>15187</v>
      </c>
      <c r="AL41" s="150"/>
      <c r="AM41" s="161">
        <v>-631</v>
      </c>
      <c r="AN41" s="161">
        <v>-14042</v>
      </c>
      <c r="AO41" s="160">
        <v>-2069</v>
      </c>
      <c r="AQ41" s="160"/>
      <c r="AR41" s="117"/>
      <c r="AS41" s="117"/>
      <c r="AT41" s="99">
        <v>20.5</v>
      </c>
      <c r="AU41" s="130"/>
      <c r="AV41" s="262">
        <v>54</v>
      </c>
      <c r="AW41" s="267">
        <v>21368</v>
      </c>
      <c r="AX41" s="124"/>
      <c r="AY41" s="255">
        <v>1.1746247265595535</v>
      </c>
      <c r="AZ41" s="259">
        <v>52.568039858660512</v>
      </c>
      <c r="BA41" s="160">
        <v>-4123.1748408835647</v>
      </c>
      <c r="BB41" s="130"/>
      <c r="BC41" s="130"/>
      <c r="BD41" s="130"/>
      <c r="BE41" s="128">
        <v>44.237618176333001</v>
      </c>
      <c r="BF41" s="160">
        <v>1754.0247098464995</v>
      </c>
      <c r="BG41" s="129">
        <v>59.993388967161586</v>
      </c>
      <c r="BH41" s="131">
        <v>12954.417821040808</v>
      </c>
      <c r="BI41" s="124"/>
      <c r="BJ41" s="117">
        <v>117005</v>
      </c>
      <c r="BK41" s="117">
        <v>246335</v>
      </c>
      <c r="BL41" s="161">
        <v>719</v>
      </c>
      <c r="BM41" s="161">
        <v>-128611</v>
      </c>
      <c r="BN41" s="117">
        <v>76487</v>
      </c>
      <c r="BO41" s="117">
        <v>66025</v>
      </c>
      <c r="BP41" s="136"/>
      <c r="BR41" s="160">
        <v>-706</v>
      </c>
      <c r="BS41" s="160">
        <v>1573</v>
      </c>
      <c r="BT41" s="161">
        <v>14768</v>
      </c>
      <c r="BU41" s="125">
        <v>13421</v>
      </c>
      <c r="BV41" s="160">
        <v>0</v>
      </c>
      <c r="BX41" s="161">
        <v>1347</v>
      </c>
      <c r="BY41" s="161">
        <v>-33</v>
      </c>
      <c r="BZ41" s="160">
        <v>-21</v>
      </c>
      <c r="CA41" s="161">
        <v>15</v>
      </c>
      <c r="CB41" s="161">
        <v>-180</v>
      </c>
      <c r="CC41" s="160">
        <v>1098</v>
      </c>
      <c r="CD41" s="160">
        <v>36877</v>
      </c>
      <c r="CE41" s="116">
        <v>13290</v>
      </c>
      <c r="CF41" s="150"/>
      <c r="CG41" s="161">
        <v>2440</v>
      </c>
      <c r="CH41" s="160">
        <v>-12453</v>
      </c>
      <c r="CI41" s="159">
        <v>-1933</v>
      </c>
      <c r="CK41" s="124"/>
      <c r="CL41" s="161"/>
      <c r="CM41" s="124"/>
      <c r="CN41" s="265">
        <v>20.5</v>
      </c>
      <c r="CO41" s="130"/>
      <c r="CP41" s="116">
        <v>63</v>
      </c>
      <c r="CQ41" s="267">
        <v>21124</v>
      </c>
      <c r="CR41" s="124"/>
      <c r="CS41" s="268">
        <v>2.0312475709288766</v>
      </c>
      <c r="CT41" s="269">
        <v>54.588900232293192</v>
      </c>
      <c r="CU41" s="160">
        <v>-4185.9969702707822</v>
      </c>
      <c r="CV41" s="130"/>
      <c r="CW41" s="130"/>
      <c r="CX41" s="130"/>
      <c r="CY41" s="269">
        <v>44.187890306815099</v>
      </c>
      <c r="CZ41" s="125">
        <v>2262.4976330240484</v>
      </c>
      <c r="DA41" s="125">
        <v>60.867719716953481</v>
      </c>
      <c r="DB41" s="273">
        <v>13567.316796061352</v>
      </c>
      <c r="DC41" s="124"/>
      <c r="DD41" s="117">
        <v>117978</v>
      </c>
      <c r="DE41" s="117">
        <v>247082</v>
      </c>
      <c r="DF41" s="117">
        <v>1827</v>
      </c>
      <c r="DG41" s="117">
        <v>-127277</v>
      </c>
      <c r="DH41" s="117">
        <v>76254</v>
      </c>
      <c r="DI41" s="117">
        <v>76116</v>
      </c>
      <c r="DJ41" s="136"/>
      <c r="DL41" s="160">
        <v>-659</v>
      </c>
      <c r="DM41" s="160">
        <v>957</v>
      </c>
      <c r="DN41" s="161">
        <v>25391</v>
      </c>
      <c r="DO41" s="116">
        <v>15969</v>
      </c>
      <c r="DP41" s="160">
        <v>-10</v>
      </c>
      <c r="DR41" s="161">
        <v>9412</v>
      </c>
      <c r="DS41" s="117">
        <v>-20</v>
      </c>
      <c r="DT41" s="116">
        <v>-2644</v>
      </c>
      <c r="DU41" s="117">
        <v>72</v>
      </c>
      <c r="DV41" s="117">
        <v>-272</v>
      </c>
      <c r="DW41" s="160">
        <v>6404</v>
      </c>
      <c r="DX41" s="160">
        <v>43467</v>
      </c>
      <c r="DY41" s="116">
        <v>22798</v>
      </c>
      <c r="DZ41" s="150"/>
      <c r="EA41" s="117">
        <v>-506</v>
      </c>
      <c r="EB41" s="116">
        <v>-12124</v>
      </c>
      <c r="EC41" s="159">
        <v>-150</v>
      </c>
      <c r="EE41" s="125"/>
      <c r="EF41" s="161"/>
      <c r="EG41" s="124"/>
      <c r="EH41" s="253">
        <v>20.5</v>
      </c>
      <c r="EI41" s="130"/>
      <c r="EJ41" s="125">
        <v>74</v>
      </c>
      <c r="EK41" s="116"/>
      <c r="EL41" s="159"/>
      <c r="EN41" s="116"/>
      <c r="EO41" s="116"/>
      <c r="EP41" s="159"/>
      <c r="EQ41" s="159">
        <v>-21369</v>
      </c>
      <c r="ER41" s="116">
        <v>235</v>
      </c>
      <c r="ES41" s="116">
        <v>3878</v>
      </c>
      <c r="ET41" s="160">
        <v>-16688</v>
      </c>
      <c r="EU41" s="116">
        <v>513</v>
      </c>
      <c r="EV41" s="116">
        <v>952</v>
      </c>
      <c r="EW41" s="160">
        <v>-26396</v>
      </c>
      <c r="EX41" s="160">
        <v>758</v>
      </c>
      <c r="EY41" s="160">
        <v>2690</v>
      </c>
      <c r="EZ41" s="116">
        <v>26744</v>
      </c>
      <c r="FA41" s="116">
        <v>-1529</v>
      </c>
      <c r="FB41" s="116">
        <v>4656</v>
      </c>
      <c r="FC41" s="160">
        <v>-220</v>
      </c>
      <c r="FD41" s="116">
        <v>21274</v>
      </c>
      <c r="FE41" s="116">
        <v>3</v>
      </c>
      <c r="FF41" s="3">
        <v>109138</v>
      </c>
      <c r="FG41" s="3">
        <v>95345</v>
      </c>
      <c r="FH41" s="3">
        <v>13793</v>
      </c>
      <c r="FI41" s="3">
        <v>0</v>
      </c>
      <c r="FJ41" s="125">
        <v>101054</v>
      </c>
      <c r="FK41" s="160">
        <v>87476</v>
      </c>
      <c r="FL41" s="125">
        <v>13578</v>
      </c>
      <c r="FM41" s="116">
        <v>0</v>
      </c>
      <c r="FN41" s="125">
        <v>110210</v>
      </c>
      <c r="FO41" s="116">
        <v>96763</v>
      </c>
      <c r="FP41" s="116">
        <v>13447</v>
      </c>
      <c r="FQ41" s="116">
        <v>-506</v>
      </c>
      <c r="FR41" s="153">
        <v>3360</v>
      </c>
      <c r="FS41" s="153">
        <v>2731</v>
      </c>
      <c r="FT41" s="276">
        <v>1070</v>
      </c>
      <c r="FU41" s="3">
        <v>9587</v>
      </c>
      <c r="FV41" s="159">
        <v>13739</v>
      </c>
      <c r="FW41" s="170"/>
      <c r="FZ41" s="155"/>
      <c r="GA41" s="2"/>
      <c r="GD41" s="163"/>
      <c r="GE41" s="2"/>
      <c r="GF41" s="2"/>
    </row>
    <row r="42" spans="1:188" ht="14.5" x14ac:dyDescent="0.35">
      <c r="A42" s="72">
        <v>142</v>
      </c>
      <c r="B42" s="70" t="s">
        <v>41</v>
      </c>
      <c r="C42" s="158">
        <v>6765</v>
      </c>
      <c r="D42" s="171"/>
      <c r="E42" s="128">
        <v>0.95928753180661575</v>
      </c>
      <c r="F42" s="128">
        <v>46.519001607886153</v>
      </c>
      <c r="G42" s="129">
        <v>-2939.8373983739839</v>
      </c>
      <c r="H42" s="216"/>
      <c r="I42" s="172"/>
      <c r="J42" s="218"/>
      <c r="K42" s="128">
        <v>42.047495144207865</v>
      </c>
      <c r="L42" s="129">
        <v>1188.7657058388766</v>
      </c>
      <c r="M42" s="129">
        <v>42.708754674155017</v>
      </c>
      <c r="N42" s="129">
        <v>10159.49741315595</v>
      </c>
      <c r="O42" s="129"/>
      <c r="P42" s="117">
        <v>28376</v>
      </c>
      <c r="Q42" s="161">
        <v>64468</v>
      </c>
      <c r="R42" s="161">
        <v>0</v>
      </c>
      <c r="S42" s="161">
        <v>-36092</v>
      </c>
      <c r="T42" s="124">
        <v>23237</v>
      </c>
      <c r="U42" s="124">
        <v>14934</v>
      </c>
      <c r="V42" s="136"/>
      <c r="X42" s="116">
        <v>-175</v>
      </c>
      <c r="Y42" s="116">
        <v>176</v>
      </c>
      <c r="Z42" s="161">
        <v>2080</v>
      </c>
      <c r="AA42" s="116">
        <v>2918</v>
      </c>
      <c r="AB42" s="116">
        <v>230</v>
      </c>
      <c r="AD42" s="161">
        <v>-608</v>
      </c>
      <c r="AE42" s="117">
        <v>0</v>
      </c>
      <c r="AF42" s="117">
        <v>0</v>
      </c>
      <c r="AG42" s="116">
        <v>0</v>
      </c>
      <c r="AH42" s="116">
        <v>0</v>
      </c>
      <c r="AI42" s="160">
        <v>-608</v>
      </c>
      <c r="AJ42" s="161">
        <v>-290</v>
      </c>
      <c r="AK42" s="161">
        <v>2239</v>
      </c>
      <c r="AL42" s="150"/>
      <c r="AM42" s="161">
        <v>262</v>
      </c>
      <c r="AN42" s="161">
        <v>-2176</v>
      </c>
      <c r="AO42" s="160">
        <v>879</v>
      </c>
      <c r="AQ42" s="160"/>
      <c r="AR42" s="117"/>
      <c r="AS42" s="117"/>
      <c r="AT42" s="99">
        <v>20.75</v>
      </c>
      <c r="AU42" s="130"/>
      <c r="AV42" s="262">
        <v>213</v>
      </c>
      <c r="AW42" s="267">
        <v>6711</v>
      </c>
      <c r="AX42" s="124"/>
      <c r="AY42" s="255">
        <v>7.0553286297809131E-2</v>
      </c>
      <c r="AZ42" s="259">
        <v>47.330722531992024</v>
      </c>
      <c r="BA42" s="160">
        <v>-3258.3817612874382</v>
      </c>
      <c r="BB42" s="130"/>
      <c r="BC42" s="130"/>
      <c r="BD42" s="130"/>
      <c r="BE42" s="128">
        <v>38.003151142289077</v>
      </c>
      <c r="BF42" s="160">
        <v>1096.7068991208464</v>
      </c>
      <c r="BG42" s="129">
        <v>39.754188279588824</v>
      </c>
      <c r="BH42" s="131">
        <v>11002.384145432872</v>
      </c>
      <c r="BI42" s="124"/>
      <c r="BJ42" s="117">
        <v>29147</v>
      </c>
      <c r="BK42" s="117">
        <v>68597</v>
      </c>
      <c r="BL42" s="161">
        <v>9</v>
      </c>
      <c r="BM42" s="161">
        <v>-39441</v>
      </c>
      <c r="BN42" s="117">
        <v>24311</v>
      </c>
      <c r="BO42" s="117">
        <v>15231</v>
      </c>
      <c r="BP42" s="136"/>
      <c r="BR42" s="160">
        <v>-149</v>
      </c>
      <c r="BS42" s="160">
        <v>76</v>
      </c>
      <c r="BT42" s="161">
        <v>28</v>
      </c>
      <c r="BU42" s="125">
        <v>2732</v>
      </c>
      <c r="BV42" s="160">
        <v>0</v>
      </c>
      <c r="BX42" s="161">
        <v>-2704</v>
      </c>
      <c r="BY42" s="161">
        <v>-1</v>
      </c>
      <c r="BZ42" s="160">
        <v>0</v>
      </c>
      <c r="CA42" s="160">
        <v>0</v>
      </c>
      <c r="CB42" s="160">
        <v>0</v>
      </c>
      <c r="CC42" s="160">
        <v>-2705</v>
      </c>
      <c r="CD42" s="160">
        <v>-2995</v>
      </c>
      <c r="CE42" s="116">
        <v>37</v>
      </c>
      <c r="CF42" s="150"/>
      <c r="CG42" s="161">
        <v>-256</v>
      </c>
      <c r="CH42" s="160">
        <v>-2531</v>
      </c>
      <c r="CI42" s="159">
        <v>-2000</v>
      </c>
      <c r="CK42" s="124"/>
      <c r="CL42" s="161"/>
      <c r="CM42" s="124"/>
      <c r="CN42" s="265">
        <v>20.75</v>
      </c>
      <c r="CO42" s="130"/>
      <c r="CP42" s="116">
        <v>274</v>
      </c>
      <c r="CQ42" s="267">
        <v>6625</v>
      </c>
      <c r="CR42" s="124"/>
      <c r="CS42" s="268">
        <v>2.9246420497362471</v>
      </c>
      <c r="CT42" s="269">
        <v>35.794344333478072</v>
      </c>
      <c r="CU42" s="160">
        <v>-2561.6603773584907</v>
      </c>
      <c r="CV42" s="130"/>
      <c r="CW42" s="130"/>
      <c r="CX42" s="130"/>
      <c r="CY42" s="269">
        <v>48.16866728224069</v>
      </c>
      <c r="CZ42" s="125">
        <v>927.69811320754718</v>
      </c>
      <c r="DA42" s="125">
        <v>31.3645960040826</v>
      </c>
      <c r="DB42" s="273">
        <v>10795.924528301886</v>
      </c>
      <c r="DC42" s="124"/>
      <c r="DD42" s="117">
        <v>28707</v>
      </c>
      <c r="DE42" s="117">
        <v>65802</v>
      </c>
      <c r="DF42" s="117">
        <v>2</v>
      </c>
      <c r="DG42" s="117">
        <v>-37093</v>
      </c>
      <c r="DH42" s="117">
        <v>25382</v>
      </c>
      <c r="DI42" s="117">
        <v>19607</v>
      </c>
      <c r="DJ42" s="136"/>
      <c r="DL42" s="160">
        <v>-130</v>
      </c>
      <c r="DM42" s="160">
        <v>-140</v>
      </c>
      <c r="DN42" s="161">
        <v>7626</v>
      </c>
      <c r="DO42" s="116">
        <v>2879</v>
      </c>
      <c r="DP42" s="160">
        <v>31</v>
      </c>
      <c r="DR42" s="161">
        <v>4778</v>
      </c>
      <c r="DS42" s="117">
        <v>-1</v>
      </c>
      <c r="DT42" s="116">
        <v>0</v>
      </c>
      <c r="DU42" s="116">
        <v>0</v>
      </c>
      <c r="DV42" s="116">
        <v>0</v>
      </c>
      <c r="DW42" s="160">
        <v>4777</v>
      </c>
      <c r="DX42" s="160">
        <v>1782</v>
      </c>
      <c r="DY42" s="116">
        <v>7626</v>
      </c>
      <c r="DZ42" s="150"/>
      <c r="EA42" s="117">
        <v>22</v>
      </c>
      <c r="EB42" s="116">
        <v>-2518</v>
      </c>
      <c r="EC42" s="159">
        <v>5040</v>
      </c>
      <c r="EE42" s="125"/>
      <c r="EF42" s="161"/>
      <c r="EG42" s="124"/>
      <c r="EH42" s="253">
        <v>21.25</v>
      </c>
      <c r="EI42" s="130"/>
      <c r="EJ42" s="125">
        <v>94</v>
      </c>
      <c r="EK42" s="116"/>
      <c r="EL42" s="159"/>
      <c r="EN42" s="116"/>
      <c r="EO42" s="116"/>
      <c r="EP42" s="159"/>
      <c r="EQ42" s="159">
        <v>-1864</v>
      </c>
      <c r="ER42" s="116">
        <v>286</v>
      </c>
      <c r="ES42" s="116">
        <v>218</v>
      </c>
      <c r="ET42" s="160">
        <v>-2529</v>
      </c>
      <c r="EU42" s="116">
        <v>202</v>
      </c>
      <c r="EV42" s="116">
        <v>290</v>
      </c>
      <c r="EW42" s="160">
        <v>-2743</v>
      </c>
      <c r="EX42" s="160">
        <v>109</v>
      </c>
      <c r="EY42" s="160">
        <v>48</v>
      </c>
      <c r="EZ42" s="116">
        <v>1801</v>
      </c>
      <c r="FA42" s="116">
        <v>0</v>
      </c>
      <c r="FB42" s="116">
        <v>1737</v>
      </c>
      <c r="FC42" s="160">
        <v>2</v>
      </c>
      <c r="FD42" s="116">
        <v>1</v>
      </c>
      <c r="FE42" s="116">
        <v>490</v>
      </c>
      <c r="FF42" s="3">
        <v>20291</v>
      </c>
      <c r="FG42" s="3">
        <v>17759</v>
      </c>
      <c r="FH42" s="3">
        <v>2532</v>
      </c>
      <c r="FI42" s="3">
        <v>30</v>
      </c>
      <c r="FJ42" s="125">
        <v>19499</v>
      </c>
      <c r="FK42" s="160">
        <v>16907</v>
      </c>
      <c r="FL42" s="125">
        <v>2592</v>
      </c>
      <c r="FM42" s="116">
        <v>24</v>
      </c>
      <c r="FN42" s="125">
        <v>17473</v>
      </c>
      <c r="FO42" s="116">
        <v>14474</v>
      </c>
      <c r="FP42" s="116">
        <v>2999</v>
      </c>
      <c r="FQ42" s="116">
        <v>22</v>
      </c>
      <c r="FR42" s="153">
        <v>956</v>
      </c>
      <c r="FS42" s="153">
        <v>681</v>
      </c>
      <c r="FT42" s="276">
        <v>493</v>
      </c>
      <c r="FU42" s="3">
        <v>10031</v>
      </c>
      <c r="FV42" s="159">
        <v>14927</v>
      </c>
      <c r="FW42" s="170"/>
      <c r="FZ42" s="155"/>
      <c r="GA42" s="2"/>
      <c r="GD42" s="163"/>
      <c r="GE42" s="2"/>
      <c r="GF42" s="2"/>
    </row>
    <row r="43" spans="1:188" ht="14.5" x14ac:dyDescent="0.35">
      <c r="A43" s="72">
        <v>143</v>
      </c>
      <c r="B43" s="70" t="s">
        <v>42</v>
      </c>
      <c r="C43" s="158">
        <v>7003</v>
      </c>
      <c r="D43" s="171"/>
      <c r="E43" s="128">
        <v>0.89032567049808431</v>
      </c>
      <c r="F43" s="128">
        <v>74.277355319946324</v>
      </c>
      <c r="G43" s="129">
        <v>-6894.6165928887622</v>
      </c>
      <c r="H43" s="216"/>
      <c r="I43" s="172"/>
      <c r="J43" s="218"/>
      <c r="K43" s="128">
        <v>27.909922748917015</v>
      </c>
      <c r="L43" s="129">
        <v>1106.8113665571898</v>
      </c>
      <c r="M43" s="129">
        <v>30.725534063881316</v>
      </c>
      <c r="N43" s="129">
        <v>13148.222190489791</v>
      </c>
      <c r="O43" s="129"/>
      <c r="P43" s="117">
        <v>32840</v>
      </c>
      <c r="Q43" s="161">
        <v>79419</v>
      </c>
      <c r="R43" s="161">
        <v>11</v>
      </c>
      <c r="S43" s="161">
        <v>-46568</v>
      </c>
      <c r="T43" s="124">
        <v>24715</v>
      </c>
      <c r="U43" s="124">
        <v>25162</v>
      </c>
      <c r="V43" s="136"/>
      <c r="X43" s="116">
        <v>-279</v>
      </c>
      <c r="Y43" s="116">
        <v>403</v>
      </c>
      <c r="Z43" s="161">
        <v>3433</v>
      </c>
      <c r="AA43" s="116">
        <v>3423</v>
      </c>
      <c r="AB43" s="116">
        <v>0</v>
      </c>
      <c r="AD43" s="161">
        <v>10</v>
      </c>
      <c r="AE43" s="117">
        <v>-58</v>
      </c>
      <c r="AF43" s="117">
        <v>842</v>
      </c>
      <c r="AG43" s="116">
        <v>-82</v>
      </c>
      <c r="AH43" s="116">
        <v>1</v>
      </c>
      <c r="AI43" s="160">
        <v>-129</v>
      </c>
      <c r="AJ43" s="161">
        <v>2678</v>
      </c>
      <c r="AK43" s="161">
        <v>3496</v>
      </c>
      <c r="AL43" s="150"/>
      <c r="AM43" s="161">
        <v>1391</v>
      </c>
      <c r="AN43" s="161">
        <v>-3891</v>
      </c>
      <c r="AO43" s="160">
        <v>-3864</v>
      </c>
      <c r="AQ43" s="160"/>
      <c r="AR43" s="117"/>
      <c r="AS43" s="117"/>
      <c r="AT43" s="99">
        <v>21.25</v>
      </c>
      <c r="AU43" s="130"/>
      <c r="AV43" s="262">
        <v>146</v>
      </c>
      <c r="AW43" s="267">
        <v>6942</v>
      </c>
      <c r="AX43" s="124"/>
      <c r="AY43" s="255">
        <v>0.87628336755646818</v>
      </c>
      <c r="AZ43" s="259">
        <v>74.617678635333419</v>
      </c>
      <c r="BA43" s="160">
        <v>-7150.9651397291846</v>
      </c>
      <c r="BB43" s="130"/>
      <c r="BC43" s="130"/>
      <c r="BD43" s="130"/>
      <c r="BE43" s="128">
        <v>27.780794027824907</v>
      </c>
      <c r="BF43" s="160">
        <v>1214.3474503025066</v>
      </c>
      <c r="BG43" s="129">
        <v>31.694861137562878</v>
      </c>
      <c r="BH43" s="131">
        <v>12858.110054739269</v>
      </c>
      <c r="BI43" s="124"/>
      <c r="BJ43" s="117">
        <v>34218</v>
      </c>
      <c r="BK43" s="117">
        <v>80609</v>
      </c>
      <c r="BL43" s="161">
        <v>32</v>
      </c>
      <c r="BM43" s="161">
        <v>-46359</v>
      </c>
      <c r="BN43" s="117">
        <v>24327</v>
      </c>
      <c r="BO43" s="117">
        <v>25285</v>
      </c>
      <c r="BP43" s="136"/>
      <c r="BR43" s="160">
        <v>-362</v>
      </c>
      <c r="BS43" s="160">
        <v>153</v>
      </c>
      <c r="BT43" s="161">
        <v>3044</v>
      </c>
      <c r="BU43" s="125">
        <v>4118</v>
      </c>
      <c r="BV43" s="160">
        <v>0</v>
      </c>
      <c r="BX43" s="161">
        <v>-1074</v>
      </c>
      <c r="BY43" s="161">
        <v>-103</v>
      </c>
      <c r="BZ43" s="160">
        <v>0</v>
      </c>
      <c r="CA43" s="160">
        <v>58</v>
      </c>
      <c r="CB43" s="160">
        <v>-26</v>
      </c>
      <c r="CC43" s="160">
        <v>-1261</v>
      </c>
      <c r="CD43" s="160">
        <v>1450</v>
      </c>
      <c r="CE43" s="116">
        <v>2620</v>
      </c>
      <c r="CF43" s="150"/>
      <c r="CG43" s="161">
        <v>3020</v>
      </c>
      <c r="CH43" s="160">
        <v>-3526</v>
      </c>
      <c r="CI43" s="159">
        <v>-1794</v>
      </c>
      <c r="CK43" s="124"/>
      <c r="CL43" s="161"/>
      <c r="CM43" s="124"/>
      <c r="CN43" s="265">
        <v>21.75</v>
      </c>
      <c r="CO43" s="130"/>
      <c r="CP43" s="116">
        <v>147</v>
      </c>
      <c r="CQ43" s="267">
        <v>6866</v>
      </c>
      <c r="CR43" s="124"/>
      <c r="CS43" s="268">
        <v>2.3488867835149216</v>
      </c>
      <c r="CT43" s="269">
        <v>65.986847951657339</v>
      </c>
      <c r="CU43" s="160">
        <v>-6497.5240314593648</v>
      </c>
      <c r="CV43" s="130"/>
      <c r="CW43" s="130"/>
      <c r="CX43" s="130"/>
      <c r="CY43" s="269">
        <v>32.064344956746631</v>
      </c>
      <c r="CZ43" s="125">
        <v>1378.3862510923391</v>
      </c>
      <c r="DA43" s="125">
        <v>38.858878452106417</v>
      </c>
      <c r="DB43" s="273">
        <v>12947.13078939703</v>
      </c>
      <c r="DC43" s="124"/>
      <c r="DD43" s="117">
        <v>35281</v>
      </c>
      <c r="DE43" s="117">
        <v>80396</v>
      </c>
      <c r="DF43" s="117">
        <v>64</v>
      </c>
      <c r="DG43" s="117">
        <v>-45051</v>
      </c>
      <c r="DH43" s="117">
        <v>25602</v>
      </c>
      <c r="DI43" s="117">
        <v>29141</v>
      </c>
      <c r="DJ43" s="136"/>
      <c r="DL43" s="160">
        <v>-352</v>
      </c>
      <c r="DM43" s="160">
        <v>218</v>
      </c>
      <c r="DN43" s="161">
        <v>9558</v>
      </c>
      <c r="DO43" s="116">
        <v>4863</v>
      </c>
      <c r="DP43" s="160">
        <v>0</v>
      </c>
      <c r="DR43" s="161">
        <v>4695</v>
      </c>
      <c r="DS43" s="117">
        <v>-262</v>
      </c>
      <c r="DT43" s="116">
        <v>-15</v>
      </c>
      <c r="DU43" s="116">
        <v>133</v>
      </c>
      <c r="DV43" s="116">
        <v>-37</v>
      </c>
      <c r="DW43" s="160">
        <v>4248</v>
      </c>
      <c r="DX43" s="160">
        <v>5376</v>
      </c>
      <c r="DY43" s="116">
        <v>9183</v>
      </c>
      <c r="DZ43" s="150"/>
      <c r="EA43" s="117">
        <v>924</v>
      </c>
      <c r="EB43" s="116">
        <v>-3863</v>
      </c>
      <c r="EC43" s="159">
        <v>5341</v>
      </c>
      <c r="EE43" s="125"/>
      <c r="EF43" s="161"/>
      <c r="EG43" s="124"/>
      <c r="EH43" s="253">
        <v>22</v>
      </c>
      <c r="EI43" s="130"/>
      <c r="EJ43" s="125">
        <v>37</v>
      </c>
      <c r="EK43" s="116"/>
      <c r="EL43" s="159"/>
      <c r="EN43" s="116"/>
      <c r="EO43" s="116"/>
      <c r="EP43" s="159"/>
      <c r="EQ43" s="159">
        <v>-7556</v>
      </c>
      <c r="ER43" s="116">
        <v>90</v>
      </c>
      <c r="ES43" s="116">
        <v>106</v>
      </c>
      <c r="ET43" s="160">
        <v>-4633</v>
      </c>
      <c r="EU43" s="116">
        <v>22</v>
      </c>
      <c r="EV43" s="116">
        <v>197</v>
      </c>
      <c r="EW43" s="160">
        <v>-4202</v>
      </c>
      <c r="EX43" s="160">
        <v>159</v>
      </c>
      <c r="EY43" s="160">
        <v>201</v>
      </c>
      <c r="EZ43" s="116">
        <v>11239</v>
      </c>
      <c r="FA43" s="116">
        <v>-5798</v>
      </c>
      <c r="FB43" s="116">
        <v>279</v>
      </c>
      <c r="FC43" s="160">
        <v>3305</v>
      </c>
      <c r="FD43" s="116">
        <v>635</v>
      </c>
      <c r="FE43" s="116">
        <v>-3204</v>
      </c>
      <c r="FF43" s="3">
        <v>45751</v>
      </c>
      <c r="FG43" s="3">
        <v>36761</v>
      </c>
      <c r="FH43" s="3">
        <v>8990</v>
      </c>
      <c r="FI43" s="3">
        <v>25</v>
      </c>
      <c r="FJ43" s="125">
        <v>47691</v>
      </c>
      <c r="FK43" s="160">
        <v>35210</v>
      </c>
      <c r="FL43" s="125">
        <v>12481</v>
      </c>
      <c r="FM43" s="116">
        <v>22</v>
      </c>
      <c r="FN43" s="125">
        <v>43209</v>
      </c>
      <c r="FO43" s="116">
        <v>33728</v>
      </c>
      <c r="FP43" s="116">
        <v>9481</v>
      </c>
      <c r="FQ43" s="116">
        <v>924</v>
      </c>
      <c r="FR43" s="153">
        <v>315</v>
      </c>
      <c r="FS43" s="153">
        <v>0</v>
      </c>
      <c r="FT43" s="276">
        <v>0</v>
      </c>
      <c r="FU43" s="3">
        <v>7185</v>
      </c>
      <c r="FV43" s="159">
        <v>6660</v>
      </c>
      <c r="FW43" s="170"/>
      <c r="FZ43" s="155"/>
      <c r="GA43" s="2"/>
      <c r="GD43" s="163"/>
      <c r="GE43" s="2"/>
      <c r="GF43" s="2"/>
    </row>
    <row r="44" spans="1:188" ht="14.5" x14ac:dyDescent="0.35">
      <c r="A44" s="72">
        <v>145</v>
      </c>
      <c r="B44" s="70" t="s">
        <v>43</v>
      </c>
      <c r="C44" s="158">
        <v>12187</v>
      </c>
      <c r="D44" s="171"/>
      <c r="E44" s="128">
        <v>0.74013494172970762</v>
      </c>
      <c r="F44" s="128">
        <v>67.454090213776354</v>
      </c>
      <c r="G44" s="129">
        <v>-6057.1920899318948</v>
      </c>
      <c r="H44" s="216"/>
      <c r="I44" s="172"/>
      <c r="J44" s="218"/>
      <c r="K44" s="128">
        <v>30.306988391325181</v>
      </c>
      <c r="L44" s="129">
        <v>640.84680397144496</v>
      </c>
      <c r="M44" s="129">
        <v>20.302762682772226</v>
      </c>
      <c r="N44" s="129">
        <v>11521.047017313531</v>
      </c>
      <c r="O44" s="129"/>
      <c r="P44" s="117">
        <v>63378</v>
      </c>
      <c r="Q44" s="161">
        <v>127870</v>
      </c>
      <c r="R44" s="161">
        <v>13</v>
      </c>
      <c r="S44" s="161">
        <v>-64479</v>
      </c>
      <c r="T44" s="124">
        <v>39149</v>
      </c>
      <c r="U44" s="124">
        <v>28873</v>
      </c>
      <c r="V44" s="136"/>
      <c r="X44" s="116">
        <v>-612</v>
      </c>
      <c r="Y44" s="116">
        <v>54</v>
      </c>
      <c r="Z44" s="161">
        <v>2984</v>
      </c>
      <c r="AA44" s="116">
        <v>5049</v>
      </c>
      <c r="AB44" s="117">
        <v>0</v>
      </c>
      <c r="AD44" s="161">
        <v>-2065</v>
      </c>
      <c r="AE44" s="116">
        <v>-3</v>
      </c>
      <c r="AF44" s="116">
        <v>13</v>
      </c>
      <c r="AG44" s="116">
        <v>-9</v>
      </c>
      <c r="AH44" s="116">
        <v>-4</v>
      </c>
      <c r="AI44" s="160">
        <v>-2068</v>
      </c>
      <c r="AJ44" s="161">
        <v>7630</v>
      </c>
      <c r="AK44" s="161">
        <v>2359</v>
      </c>
      <c r="AL44" s="150"/>
      <c r="AM44" s="161">
        <v>609</v>
      </c>
      <c r="AN44" s="161">
        <v>-4256</v>
      </c>
      <c r="AO44" s="160">
        <v>-5201</v>
      </c>
      <c r="AQ44" s="160"/>
      <c r="AR44" s="117"/>
      <c r="AS44" s="117"/>
      <c r="AT44" s="99">
        <v>20.75</v>
      </c>
      <c r="AU44" s="130"/>
      <c r="AV44" s="262">
        <v>241</v>
      </c>
      <c r="AW44" s="267">
        <v>12269</v>
      </c>
      <c r="AX44" s="124"/>
      <c r="AY44" s="255">
        <v>0.13852091373735267</v>
      </c>
      <c r="AZ44" s="259">
        <v>70.496887497310411</v>
      </c>
      <c r="BA44" s="160">
        <v>-6598.2557665661425</v>
      </c>
      <c r="BB44" s="130"/>
      <c r="BC44" s="130"/>
      <c r="BD44" s="130"/>
      <c r="BE44" s="128">
        <v>26.213770894034656</v>
      </c>
      <c r="BF44" s="160">
        <v>580.5689135218845</v>
      </c>
      <c r="BG44" s="129">
        <v>18.824869576702106</v>
      </c>
      <c r="BH44" s="131">
        <v>12342.489200423832</v>
      </c>
      <c r="BI44" s="124"/>
      <c r="BJ44" s="117">
        <v>64587</v>
      </c>
      <c r="BK44" s="117">
        <v>133705</v>
      </c>
      <c r="BL44" s="161">
        <v>5</v>
      </c>
      <c r="BM44" s="161">
        <v>-69113</v>
      </c>
      <c r="BN44" s="117">
        <v>40904</v>
      </c>
      <c r="BO44" s="117">
        <v>29288</v>
      </c>
      <c r="BP44" s="136"/>
      <c r="BR44" s="160">
        <v>-571</v>
      </c>
      <c r="BS44" s="160">
        <v>246</v>
      </c>
      <c r="BT44" s="161">
        <v>754</v>
      </c>
      <c r="BU44" s="125">
        <v>5497</v>
      </c>
      <c r="BV44" s="161">
        <v>0</v>
      </c>
      <c r="BW44" s="117"/>
      <c r="BX44" s="161">
        <v>-4743</v>
      </c>
      <c r="BY44" s="160">
        <v>24</v>
      </c>
      <c r="BZ44" s="160">
        <v>0</v>
      </c>
      <c r="CA44" s="160">
        <v>1</v>
      </c>
      <c r="CB44" s="160">
        <v>9</v>
      </c>
      <c r="CC44" s="160">
        <v>-4711</v>
      </c>
      <c r="CD44" s="160">
        <v>2282</v>
      </c>
      <c r="CE44" s="116">
        <v>194</v>
      </c>
      <c r="CF44" s="150"/>
      <c r="CG44" s="160">
        <v>1068</v>
      </c>
      <c r="CH44" s="160">
        <v>-9013</v>
      </c>
      <c r="CI44" s="159">
        <v>-6876</v>
      </c>
      <c r="CK44" s="124"/>
      <c r="CL44" s="161"/>
      <c r="CM44" s="124"/>
      <c r="CN44" s="265">
        <v>20.75</v>
      </c>
      <c r="CO44" s="130"/>
      <c r="CP44" s="116">
        <v>267</v>
      </c>
      <c r="CQ44" s="267">
        <v>12294</v>
      </c>
      <c r="CR44" s="124"/>
      <c r="CS44" s="268">
        <v>1.6009860891001937</v>
      </c>
      <c r="CT44" s="269">
        <v>72.644893597829636</v>
      </c>
      <c r="CU44" s="160">
        <v>-7070.7662274280137</v>
      </c>
      <c r="CV44" s="130"/>
      <c r="CW44" s="130"/>
      <c r="CX44" s="130"/>
      <c r="CY44" s="269">
        <v>25.631175689816214</v>
      </c>
      <c r="CZ44" s="125">
        <v>725.96388482186433</v>
      </c>
      <c r="DA44" s="125">
        <v>21.005416384563304</v>
      </c>
      <c r="DB44" s="273">
        <v>12614.69009272816</v>
      </c>
      <c r="DC44" s="124"/>
      <c r="DD44" s="117">
        <v>65951</v>
      </c>
      <c r="DE44" s="117">
        <v>135228</v>
      </c>
      <c r="DF44" s="117">
        <v>7</v>
      </c>
      <c r="DG44" s="117">
        <v>-69270</v>
      </c>
      <c r="DH44" s="117">
        <v>43264</v>
      </c>
      <c r="DI44" s="117">
        <v>34908</v>
      </c>
      <c r="DJ44" s="136"/>
      <c r="DL44" s="160">
        <v>-605</v>
      </c>
      <c r="DM44" s="160">
        <v>186</v>
      </c>
      <c r="DN44" s="161">
        <v>8483</v>
      </c>
      <c r="DO44" s="116">
        <v>5812</v>
      </c>
      <c r="DP44" s="161">
        <v>0</v>
      </c>
      <c r="DQ44" s="117"/>
      <c r="DR44" s="161">
        <v>2671</v>
      </c>
      <c r="DS44" s="116">
        <v>-5</v>
      </c>
      <c r="DT44" s="116">
        <v>-124</v>
      </c>
      <c r="DU44" s="116">
        <v>2</v>
      </c>
      <c r="DV44" s="116">
        <v>0</v>
      </c>
      <c r="DW44" s="160">
        <v>2540</v>
      </c>
      <c r="DX44" s="160">
        <v>4697</v>
      </c>
      <c r="DY44" s="116">
        <v>6519</v>
      </c>
      <c r="DZ44" s="150"/>
      <c r="EA44" s="116">
        <v>-1397</v>
      </c>
      <c r="EB44" s="116">
        <v>-5070</v>
      </c>
      <c r="EC44" s="159">
        <v>-6743</v>
      </c>
      <c r="EE44" s="125"/>
      <c r="EF44" s="161"/>
      <c r="EG44" s="124"/>
      <c r="EH44" s="253">
        <v>21</v>
      </c>
      <c r="EI44" s="130"/>
      <c r="EJ44" s="125">
        <v>258</v>
      </c>
      <c r="EK44" s="116"/>
      <c r="EL44" s="159"/>
      <c r="EN44" s="116"/>
      <c r="EO44" s="116"/>
      <c r="EP44" s="159"/>
      <c r="EQ44" s="159">
        <v>-7458</v>
      </c>
      <c r="ER44" s="116">
        <v>19</v>
      </c>
      <c r="ES44" s="116">
        <v>-121</v>
      </c>
      <c r="ET44" s="160">
        <v>-7907</v>
      </c>
      <c r="EU44" s="116">
        <v>10</v>
      </c>
      <c r="EV44" s="116">
        <v>827</v>
      </c>
      <c r="EW44" s="160">
        <v>-14026</v>
      </c>
      <c r="EX44" s="160">
        <v>43</v>
      </c>
      <c r="EY44" s="160">
        <v>721</v>
      </c>
      <c r="EZ44" s="116">
        <v>7096</v>
      </c>
      <c r="FA44" s="116">
        <v>-364</v>
      </c>
      <c r="FB44" s="116">
        <v>15218</v>
      </c>
      <c r="FC44" s="160">
        <v>-555</v>
      </c>
      <c r="FD44" s="116">
        <v>17383</v>
      </c>
      <c r="FE44" s="116">
        <v>-3207</v>
      </c>
      <c r="FF44" s="3">
        <v>69346</v>
      </c>
      <c r="FG44" s="3">
        <v>58779</v>
      </c>
      <c r="FH44" s="3">
        <v>10567</v>
      </c>
      <c r="FI44" s="3">
        <v>117</v>
      </c>
      <c r="FJ44" s="125">
        <v>74986</v>
      </c>
      <c r="FK44" s="160">
        <v>64975</v>
      </c>
      <c r="FL44" s="125">
        <v>10011</v>
      </c>
      <c r="FM44" s="116">
        <v>126</v>
      </c>
      <c r="FN44" s="125">
        <v>83035</v>
      </c>
      <c r="FO44" s="116">
        <v>76593</v>
      </c>
      <c r="FP44" s="116">
        <v>6442</v>
      </c>
      <c r="FQ44" s="116">
        <v>-1397</v>
      </c>
      <c r="FR44" s="153">
        <v>6075</v>
      </c>
      <c r="FS44" s="153">
        <v>5369</v>
      </c>
      <c r="FT44" s="276">
        <v>3905</v>
      </c>
      <c r="FU44" s="3">
        <v>3955</v>
      </c>
      <c r="FV44" s="159">
        <v>3305</v>
      </c>
      <c r="FW44" s="170"/>
      <c r="FZ44" s="155"/>
      <c r="GA44" s="2"/>
      <c r="GD44" s="163"/>
      <c r="GE44" s="2"/>
      <c r="GF44" s="2"/>
    </row>
    <row r="45" spans="1:188" ht="14.5" x14ac:dyDescent="0.35">
      <c r="A45" s="72">
        <v>146</v>
      </c>
      <c r="B45" s="70" t="s">
        <v>44</v>
      </c>
      <c r="C45" s="158">
        <v>4973</v>
      </c>
      <c r="D45" s="171"/>
      <c r="E45" s="128">
        <v>0.63928841786525359</v>
      </c>
      <c r="F45" s="128">
        <v>38.71472697032803</v>
      </c>
      <c r="G45" s="129">
        <v>-3818.017293384275</v>
      </c>
      <c r="H45" s="216"/>
      <c r="I45" s="172"/>
      <c r="J45" s="218"/>
      <c r="K45" s="128">
        <v>42.917643350995725</v>
      </c>
      <c r="L45" s="129">
        <v>1153.8306857027951</v>
      </c>
      <c r="M45" s="129">
        <v>27.726779284049989</v>
      </c>
      <c r="N45" s="129">
        <v>15189.221797707622</v>
      </c>
      <c r="O45" s="129"/>
      <c r="P45" s="117">
        <v>33211</v>
      </c>
      <c r="Q45" s="161">
        <v>70208</v>
      </c>
      <c r="R45" s="161">
        <v>-1</v>
      </c>
      <c r="S45" s="161">
        <v>-36998</v>
      </c>
      <c r="T45" s="124">
        <v>17060</v>
      </c>
      <c r="U45" s="124">
        <v>21278</v>
      </c>
      <c r="V45" s="136"/>
      <c r="X45" s="116">
        <v>-175</v>
      </c>
      <c r="Y45" s="116">
        <v>307</v>
      </c>
      <c r="Z45" s="161">
        <v>1472</v>
      </c>
      <c r="AA45" s="116">
        <v>3250</v>
      </c>
      <c r="AB45" s="116">
        <v>0</v>
      </c>
      <c r="AD45" s="161">
        <v>-1778</v>
      </c>
      <c r="AE45" s="117">
        <v>43</v>
      </c>
      <c r="AF45" s="117">
        <v>0</v>
      </c>
      <c r="AG45" s="116">
        <v>-2</v>
      </c>
      <c r="AH45" s="117">
        <v>-12</v>
      </c>
      <c r="AI45" s="160">
        <v>-1749</v>
      </c>
      <c r="AJ45" s="161">
        <v>761</v>
      </c>
      <c r="AK45" s="161">
        <v>1538</v>
      </c>
      <c r="AL45" s="150"/>
      <c r="AM45" s="161">
        <v>-459</v>
      </c>
      <c r="AN45" s="161">
        <v>-2425</v>
      </c>
      <c r="AO45" s="160">
        <v>-779</v>
      </c>
      <c r="AQ45" s="160"/>
      <c r="AR45" s="117"/>
      <c r="AS45" s="117"/>
      <c r="AT45" s="99">
        <v>20.75</v>
      </c>
      <c r="AU45" s="130"/>
      <c r="AV45" s="262">
        <v>220</v>
      </c>
      <c r="AW45" s="267">
        <v>4857</v>
      </c>
      <c r="AX45" s="124"/>
      <c r="AY45" s="255">
        <v>0.64477211796246647</v>
      </c>
      <c r="AZ45" s="259">
        <v>37.263936838919989</v>
      </c>
      <c r="BA45" s="160">
        <v>-4098.0028824377187</v>
      </c>
      <c r="BB45" s="130"/>
      <c r="BC45" s="130"/>
      <c r="BD45" s="130"/>
      <c r="BE45" s="128">
        <v>42.86770140428677</v>
      </c>
      <c r="BF45" s="160">
        <v>968.08729668519663</v>
      </c>
      <c r="BG45" s="129">
        <v>26.927191144139165</v>
      </c>
      <c r="BH45" s="131">
        <v>16013.794523368337</v>
      </c>
      <c r="BI45" s="124"/>
      <c r="BJ45" s="117">
        <v>33862</v>
      </c>
      <c r="BK45" s="117">
        <v>71178</v>
      </c>
      <c r="BL45" s="161">
        <v>-6</v>
      </c>
      <c r="BM45" s="161">
        <v>-37322</v>
      </c>
      <c r="BN45" s="117">
        <v>17289</v>
      </c>
      <c r="BO45" s="117">
        <v>21552</v>
      </c>
      <c r="BP45" s="136"/>
      <c r="BR45" s="160">
        <v>-173</v>
      </c>
      <c r="BS45" s="160">
        <v>343</v>
      </c>
      <c r="BT45" s="161">
        <v>1689</v>
      </c>
      <c r="BU45" s="125">
        <v>3214</v>
      </c>
      <c r="BV45" s="160">
        <v>0</v>
      </c>
      <c r="BX45" s="161">
        <v>-1525</v>
      </c>
      <c r="BY45" s="161">
        <v>31</v>
      </c>
      <c r="BZ45" s="160">
        <v>-3</v>
      </c>
      <c r="CA45" s="161">
        <v>41</v>
      </c>
      <c r="CB45" s="161">
        <v>-18</v>
      </c>
      <c r="CC45" s="160">
        <v>-1556</v>
      </c>
      <c r="CD45" s="160">
        <v>-775</v>
      </c>
      <c r="CE45" s="116">
        <v>1430</v>
      </c>
      <c r="CF45" s="150"/>
      <c r="CG45" s="160">
        <v>490</v>
      </c>
      <c r="CH45" s="160">
        <v>-2749</v>
      </c>
      <c r="CI45" s="159">
        <v>602</v>
      </c>
      <c r="CK45" s="124"/>
      <c r="CL45" s="161"/>
      <c r="CM45" s="124"/>
      <c r="CN45" s="265">
        <v>21</v>
      </c>
      <c r="CO45" s="130"/>
      <c r="CP45" s="116">
        <v>186</v>
      </c>
      <c r="CQ45" s="267">
        <v>4749</v>
      </c>
      <c r="CR45" s="124"/>
      <c r="CS45" s="268">
        <v>2.1989606533036379</v>
      </c>
      <c r="CT45" s="269">
        <v>37.574237288135592</v>
      </c>
      <c r="CU45" s="160">
        <v>-3147.1888818698671</v>
      </c>
      <c r="CV45" s="130"/>
      <c r="CW45" s="130"/>
      <c r="CX45" s="130"/>
      <c r="CY45" s="269">
        <v>44.31224608241439</v>
      </c>
      <c r="CZ45" s="125">
        <v>1955.9907348915563</v>
      </c>
      <c r="DA45" s="125">
        <v>46.582834139371286</v>
      </c>
      <c r="DB45" s="273">
        <v>15326.173931353969</v>
      </c>
      <c r="DC45" s="124"/>
      <c r="DD45" s="117">
        <v>33655</v>
      </c>
      <c r="DE45" s="117">
        <v>68214</v>
      </c>
      <c r="DF45" s="117">
        <v>-6</v>
      </c>
      <c r="DG45" s="117">
        <v>-34565</v>
      </c>
      <c r="DH45" s="117">
        <v>17462</v>
      </c>
      <c r="DI45" s="117">
        <v>22633</v>
      </c>
      <c r="DJ45" s="136"/>
      <c r="DL45" s="160">
        <v>-198</v>
      </c>
      <c r="DM45" s="160">
        <v>361</v>
      </c>
      <c r="DN45" s="161">
        <v>5693</v>
      </c>
      <c r="DO45" s="116">
        <v>2955</v>
      </c>
      <c r="DP45" s="160">
        <v>0</v>
      </c>
      <c r="DR45" s="161">
        <v>2738</v>
      </c>
      <c r="DS45" s="117">
        <v>24</v>
      </c>
      <c r="DT45" s="116">
        <v>-496</v>
      </c>
      <c r="DU45" s="117">
        <v>32</v>
      </c>
      <c r="DV45" s="117">
        <v>6</v>
      </c>
      <c r="DW45" s="160">
        <v>2240</v>
      </c>
      <c r="DX45" s="160">
        <v>1281</v>
      </c>
      <c r="DY45" s="116">
        <v>5569</v>
      </c>
      <c r="DZ45" s="150"/>
      <c r="EA45" s="116">
        <v>-990</v>
      </c>
      <c r="EB45" s="116">
        <v>-2463</v>
      </c>
      <c r="EC45" s="159">
        <v>3984</v>
      </c>
      <c r="EE45" s="125"/>
      <c r="EF45" s="161"/>
      <c r="EG45" s="124"/>
      <c r="EH45" s="253">
        <v>21</v>
      </c>
      <c r="EI45" s="130"/>
      <c r="EJ45" s="125">
        <v>75</v>
      </c>
      <c r="EK45" s="116"/>
      <c r="EL45" s="159"/>
      <c r="EN45" s="116"/>
      <c r="EO45" s="116"/>
      <c r="EP45" s="159"/>
      <c r="EQ45" s="159">
        <v>-2407</v>
      </c>
      <c r="ER45" s="116">
        <v>18</v>
      </c>
      <c r="ES45" s="116">
        <v>72</v>
      </c>
      <c r="ET45" s="160">
        <v>-3498</v>
      </c>
      <c r="EU45" s="116">
        <v>1</v>
      </c>
      <c r="EV45" s="116">
        <v>2669</v>
      </c>
      <c r="EW45" s="160">
        <v>-1838</v>
      </c>
      <c r="EX45" s="160">
        <v>35</v>
      </c>
      <c r="EY45" s="160">
        <v>218</v>
      </c>
      <c r="EZ45" s="116">
        <v>505</v>
      </c>
      <c r="FA45" s="116">
        <v>434</v>
      </c>
      <c r="FB45" s="116">
        <v>2165</v>
      </c>
      <c r="FC45" s="160">
        <v>340</v>
      </c>
      <c r="FD45" s="116">
        <v>3621</v>
      </c>
      <c r="FE45" s="116">
        <v>208</v>
      </c>
      <c r="FF45" s="3">
        <v>19475</v>
      </c>
      <c r="FG45" s="3">
        <v>17013</v>
      </c>
      <c r="FH45" s="3">
        <v>2462</v>
      </c>
      <c r="FI45" s="3">
        <v>0</v>
      </c>
      <c r="FJ45" s="125">
        <v>19230</v>
      </c>
      <c r="FK45" s="160">
        <v>16605</v>
      </c>
      <c r="FL45" s="125">
        <v>2625</v>
      </c>
      <c r="FM45" s="116">
        <v>0</v>
      </c>
      <c r="FN45" s="125">
        <v>20596</v>
      </c>
      <c r="FO45" s="116">
        <v>17661</v>
      </c>
      <c r="FP45" s="116">
        <v>2935</v>
      </c>
      <c r="FQ45" s="116">
        <v>-990</v>
      </c>
      <c r="FR45" s="153">
        <v>1051</v>
      </c>
      <c r="FS45" s="153">
        <v>911</v>
      </c>
      <c r="FT45" s="276">
        <v>907</v>
      </c>
      <c r="FU45" s="3">
        <v>1016</v>
      </c>
      <c r="FV45" s="159">
        <v>2351</v>
      </c>
      <c r="FW45" s="170"/>
      <c r="FZ45" s="155"/>
      <c r="GA45" s="2"/>
      <c r="GD45" s="163"/>
      <c r="GE45" s="2"/>
      <c r="GF45" s="2"/>
    </row>
    <row r="46" spans="1:188" ht="14.5" x14ac:dyDescent="0.35">
      <c r="A46" s="72">
        <v>153</v>
      </c>
      <c r="B46" s="70" t="s">
        <v>49</v>
      </c>
      <c r="C46" s="158">
        <v>26932</v>
      </c>
      <c r="D46" s="171"/>
      <c r="E46" s="128">
        <v>0.74992154401380828</v>
      </c>
      <c r="F46" s="128">
        <v>116.54977210764012</v>
      </c>
      <c r="G46" s="129">
        <v>-8425.8874201693161</v>
      </c>
      <c r="H46" s="216"/>
      <c r="I46" s="172"/>
      <c r="J46" s="218"/>
      <c r="K46" s="128">
        <v>30.866293065357695</v>
      </c>
      <c r="L46" s="129">
        <v>777.17956334472001</v>
      </c>
      <c r="M46" s="129">
        <v>26.01106859053365</v>
      </c>
      <c r="N46" s="129">
        <v>10905.762661517898</v>
      </c>
      <c r="O46" s="129"/>
      <c r="P46" s="117">
        <v>73954</v>
      </c>
      <c r="Q46" s="161">
        <v>224402</v>
      </c>
      <c r="R46" s="161">
        <v>162</v>
      </c>
      <c r="S46" s="161">
        <v>-150286</v>
      </c>
      <c r="T46" s="124">
        <v>102066</v>
      </c>
      <c r="U46" s="124">
        <v>67070</v>
      </c>
      <c r="V46" s="136"/>
      <c r="X46" s="116">
        <v>-2233</v>
      </c>
      <c r="Y46" s="116">
        <v>193</v>
      </c>
      <c r="Z46" s="161">
        <v>16810</v>
      </c>
      <c r="AA46" s="116">
        <v>19038</v>
      </c>
      <c r="AB46" s="116">
        <v>0</v>
      </c>
      <c r="AD46" s="161">
        <v>-2228</v>
      </c>
      <c r="AE46" s="117">
        <v>0</v>
      </c>
      <c r="AF46" s="117">
        <v>407</v>
      </c>
      <c r="AG46" s="116">
        <v>-397</v>
      </c>
      <c r="AH46" s="116">
        <v>-297</v>
      </c>
      <c r="AI46" s="160">
        <v>-2496</v>
      </c>
      <c r="AJ46" s="161">
        <v>51266</v>
      </c>
      <c r="AK46" s="161">
        <v>18043</v>
      </c>
      <c r="AL46" s="150"/>
      <c r="AM46" s="161">
        <v>-7379</v>
      </c>
      <c r="AN46" s="161">
        <v>-23118</v>
      </c>
      <c r="AO46" s="160">
        <v>-21965</v>
      </c>
      <c r="AQ46" s="160"/>
      <c r="AR46" s="117"/>
      <c r="AS46" s="117"/>
      <c r="AT46" s="99">
        <v>20</v>
      </c>
      <c r="AU46" s="130"/>
      <c r="AV46" s="262">
        <v>102</v>
      </c>
      <c r="AW46" s="267">
        <v>26508</v>
      </c>
      <c r="AX46" s="124"/>
      <c r="AY46" s="255">
        <v>0.60651115098692643</v>
      </c>
      <c r="AZ46" s="259">
        <v>89.499816392592749</v>
      </c>
      <c r="BA46" s="160">
        <v>-8950.0528142447565</v>
      </c>
      <c r="BB46" s="130"/>
      <c r="BC46" s="130"/>
      <c r="BD46" s="130"/>
      <c r="BE46" s="128">
        <v>30.17017998459276</v>
      </c>
      <c r="BF46" s="160">
        <v>755.20597555454958</v>
      </c>
      <c r="BG46" s="129">
        <v>19.719570082313133</v>
      </c>
      <c r="BH46" s="131">
        <v>14615.323675871436</v>
      </c>
      <c r="BI46" s="124"/>
      <c r="BJ46" s="117">
        <v>150394</v>
      </c>
      <c r="BK46" s="117">
        <v>298368</v>
      </c>
      <c r="BL46" s="161">
        <v>141</v>
      </c>
      <c r="BM46" s="161">
        <v>-147833</v>
      </c>
      <c r="BN46" s="117">
        <v>105975</v>
      </c>
      <c r="BO46" s="117">
        <v>67692</v>
      </c>
      <c r="BP46" s="136"/>
      <c r="BR46" s="160">
        <v>-2170</v>
      </c>
      <c r="BS46" s="160">
        <v>63</v>
      </c>
      <c r="BT46" s="161">
        <v>23727</v>
      </c>
      <c r="BU46" s="125">
        <v>25761</v>
      </c>
      <c r="BV46" s="160">
        <v>1683</v>
      </c>
      <c r="BX46" s="161">
        <v>-351</v>
      </c>
      <c r="BY46" s="161">
        <v>24</v>
      </c>
      <c r="BZ46" s="161">
        <v>1350</v>
      </c>
      <c r="CA46" s="160">
        <v>493</v>
      </c>
      <c r="CB46" s="160">
        <v>1</v>
      </c>
      <c r="CC46" s="160">
        <v>531</v>
      </c>
      <c r="CD46" s="160">
        <v>49021</v>
      </c>
      <c r="CE46" s="116">
        <v>23481</v>
      </c>
      <c r="CF46" s="150"/>
      <c r="CG46" s="161">
        <v>5572</v>
      </c>
      <c r="CH46" s="160">
        <v>-40612</v>
      </c>
      <c r="CI46" s="159">
        <v>-19098</v>
      </c>
      <c r="CK46" s="124"/>
      <c r="CL46" s="161"/>
      <c r="CM46" s="124"/>
      <c r="CN46" s="265">
        <v>20</v>
      </c>
      <c r="CO46" s="130"/>
      <c r="CP46" s="116">
        <v>29</v>
      </c>
      <c r="CQ46" s="267">
        <v>26075</v>
      </c>
      <c r="CR46" s="124"/>
      <c r="CS46" s="268">
        <v>0.85870562033276565</v>
      </c>
      <c r="CT46" s="269">
        <v>87.047114526217783</v>
      </c>
      <c r="CU46" s="160">
        <v>-9412.2339405560888</v>
      </c>
      <c r="CV46" s="130"/>
      <c r="CW46" s="130"/>
      <c r="CX46" s="130"/>
      <c r="CY46" s="269">
        <v>29.276863878635012</v>
      </c>
      <c r="CZ46" s="125">
        <v>891.73537871524445</v>
      </c>
      <c r="DA46" s="125">
        <v>21.508568474299647</v>
      </c>
      <c r="DB46" s="273">
        <v>15132.732502396932</v>
      </c>
      <c r="DC46" s="124"/>
      <c r="DD46" s="117">
        <v>152427</v>
      </c>
      <c r="DE46" s="117">
        <v>312907</v>
      </c>
      <c r="DF46" s="117">
        <v>165</v>
      </c>
      <c r="DG46" s="117">
        <v>-160315</v>
      </c>
      <c r="DH46" s="117">
        <v>105745</v>
      </c>
      <c r="DI46" s="117">
        <v>81235</v>
      </c>
      <c r="DJ46" s="136"/>
      <c r="DL46" s="160">
        <v>-2437</v>
      </c>
      <c r="DM46" s="160">
        <v>-542</v>
      </c>
      <c r="DN46" s="161">
        <v>23686</v>
      </c>
      <c r="DO46" s="116">
        <v>25651</v>
      </c>
      <c r="DP46" s="160">
        <v>217</v>
      </c>
      <c r="DR46" s="161">
        <v>-1748</v>
      </c>
      <c r="DS46" s="117">
        <v>-17</v>
      </c>
      <c r="DT46" s="117">
        <v>116</v>
      </c>
      <c r="DU46" s="116">
        <v>450</v>
      </c>
      <c r="DV46" s="116">
        <v>264</v>
      </c>
      <c r="DW46" s="160">
        <v>-1835</v>
      </c>
      <c r="DX46" s="160">
        <v>47386</v>
      </c>
      <c r="DY46" s="116">
        <v>27379</v>
      </c>
      <c r="DZ46" s="150"/>
      <c r="EA46" s="117">
        <v>-1024</v>
      </c>
      <c r="EB46" s="116">
        <v>-28000</v>
      </c>
      <c r="EC46" s="159">
        <v>-8949</v>
      </c>
      <c r="EE46" s="125"/>
      <c r="EF46" s="161"/>
      <c r="EG46" s="124"/>
      <c r="EH46" s="253">
        <v>20</v>
      </c>
      <c r="EI46" s="130"/>
      <c r="EJ46" s="125">
        <v>188</v>
      </c>
      <c r="EK46" s="116"/>
      <c r="EL46" s="159"/>
      <c r="EN46" s="116"/>
      <c r="EO46" s="116"/>
      <c r="EP46" s="159"/>
      <c r="EQ46" s="159">
        <v>-46664</v>
      </c>
      <c r="ER46" s="116">
        <v>395</v>
      </c>
      <c r="ES46" s="116">
        <v>6261</v>
      </c>
      <c r="ET46" s="160">
        <v>-45927</v>
      </c>
      <c r="EU46" s="116">
        <v>610</v>
      </c>
      <c r="EV46" s="116">
        <v>2738</v>
      </c>
      <c r="EW46" s="160">
        <v>-50408</v>
      </c>
      <c r="EX46" s="160">
        <v>629</v>
      </c>
      <c r="EY46" s="160">
        <v>13451</v>
      </c>
      <c r="EZ46" s="116">
        <v>42800</v>
      </c>
      <c r="FA46" s="116">
        <v>-2371</v>
      </c>
      <c r="FB46" s="116">
        <v>54830</v>
      </c>
      <c r="FC46" s="160">
        <v>6093</v>
      </c>
      <c r="FD46" s="116">
        <v>43459</v>
      </c>
      <c r="FE46" s="116">
        <v>-8313</v>
      </c>
      <c r="FF46" s="3">
        <v>219774</v>
      </c>
      <c r="FG46" s="3">
        <v>201047</v>
      </c>
      <c r="FH46" s="3">
        <v>18727</v>
      </c>
      <c r="FI46" s="3">
        <v>994</v>
      </c>
      <c r="FJ46" s="125">
        <v>238414</v>
      </c>
      <c r="FK46" s="160">
        <v>213423</v>
      </c>
      <c r="FL46" s="125">
        <v>24991</v>
      </c>
      <c r="FM46" s="116">
        <v>0</v>
      </c>
      <c r="FN46" s="125">
        <v>246701</v>
      </c>
      <c r="FO46" s="116">
        <v>225804</v>
      </c>
      <c r="FP46" s="116">
        <v>20897</v>
      </c>
      <c r="FQ46" s="116">
        <v>-1024</v>
      </c>
      <c r="FR46" s="153">
        <v>2567</v>
      </c>
      <c r="FS46" s="153">
        <v>4124</v>
      </c>
      <c r="FT46" s="276">
        <v>3982</v>
      </c>
      <c r="FU46" s="3">
        <v>29816</v>
      </c>
      <c r="FV46" s="159">
        <v>50997</v>
      </c>
      <c r="FW46" s="170"/>
      <c r="FZ46" s="155"/>
      <c r="GA46" s="2"/>
      <c r="GD46" s="163"/>
      <c r="GE46" s="2"/>
      <c r="GF46" s="2"/>
    </row>
    <row r="47" spans="1:188" ht="14.5" x14ac:dyDescent="0.35">
      <c r="A47" s="72">
        <v>148</v>
      </c>
      <c r="B47" s="70" t="s">
        <v>45</v>
      </c>
      <c r="C47" s="158">
        <v>6930</v>
      </c>
      <c r="D47" s="171"/>
      <c r="E47" s="128">
        <v>2.4605524861878454</v>
      </c>
      <c r="F47" s="128">
        <v>74.838410288706953</v>
      </c>
      <c r="G47" s="129">
        <v>-6235.3535353535353</v>
      </c>
      <c r="H47" s="216"/>
      <c r="I47" s="172"/>
      <c r="J47" s="218"/>
      <c r="K47" s="128">
        <v>50.045862497177694</v>
      </c>
      <c r="L47" s="129">
        <v>2168.9754689754686</v>
      </c>
      <c r="M47" s="129">
        <v>58.374989359891046</v>
      </c>
      <c r="N47" s="129">
        <v>13561.904761904761</v>
      </c>
      <c r="O47" s="129"/>
      <c r="P47" s="117">
        <v>39087</v>
      </c>
      <c r="Q47" s="161">
        <v>79381</v>
      </c>
      <c r="R47" s="161">
        <v>4</v>
      </c>
      <c r="S47" s="161">
        <v>-40290</v>
      </c>
      <c r="T47" s="124">
        <v>27992</v>
      </c>
      <c r="U47" s="124">
        <v>23428</v>
      </c>
      <c r="V47" s="136"/>
      <c r="X47" s="116">
        <v>-667</v>
      </c>
      <c r="Y47" s="116">
        <v>-65</v>
      </c>
      <c r="Z47" s="161">
        <v>10398</v>
      </c>
      <c r="AA47" s="116">
        <v>5562</v>
      </c>
      <c r="AB47" s="116">
        <v>-4</v>
      </c>
      <c r="AD47" s="161">
        <v>4832</v>
      </c>
      <c r="AE47" s="116">
        <v>-207</v>
      </c>
      <c r="AF47" s="116">
        <v>44</v>
      </c>
      <c r="AG47" s="116">
        <v>-320</v>
      </c>
      <c r="AH47" s="117">
        <v>-360</v>
      </c>
      <c r="AI47" s="160">
        <v>3989</v>
      </c>
      <c r="AJ47" s="161">
        <v>26271</v>
      </c>
      <c r="AK47" s="161">
        <v>9903</v>
      </c>
      <c r="AL47" s="150"/>
      <c r="AM47" s="161">
        <v>1097</v>
      </c>
      <c r="AN47" s="161">
        <v>-3789</v>
      </c>
      <c r="AO47" s="160">
        <v>1402</v>
      </c>
      <c r="AQ47" s="160"/>
      <c r="AR47" s="117"/>
      <c r="AS47" s="117"/>
      <c r="AT47" s="99">
        <v>19</v>
      </c>
      <c r="AU47" s="130"/>
      <c r="AV47" s="262">
        <v>4</v>
      </c>
      <c r="AW47" s="267">
        <v>6907</v>
      </c>
      <c r="AX47" s="124"/>
      <c r="AY47" s="255">
        <v>2.7365107913669067</v>
      </c>
      <c r="AZ47" s="259">
        <v>80.898487252251243</v>
      </c>
      <c r="BA47" s="160">
        <v>-7675.4017663240193</v>
      </c>
      <c r="BB47" s="130"/>
      <c r="BC47" s="130"/>
      <c r="BD47" s="130"/>
      <c r="BE47" s="128">
        <v>50.129101158530815</v>
      </c>
      <c r="BF47" s="160">
        <v>1570.1462284638772</v>
      </c>
      <c r="BG47" s="129">
        <v>52.993026108626566</v>
      </c>
      <c r="BH47" s="131">
        <v>14988.996670044882</v>
      </c>
      <c r="BI47" s="124"/>
      <c r="BJ47" s="117">
        <v>38486</v>
      </c>
      <c r="BK47" s="117">
        <v>80608</v>
      </c>
      <c r="BL47" s="161">
        <v>1</v>
      </c>
      <c r="BM47" s="161">
        <v>-42121</v>
      </c>
      <c r="BN47" s="117">
        <v>27653</v>
      </c>
      <c r="BO47" s="117">
        <v>23367</v>
      </c>
      <c r="BP47" s="136"/>
      <c r="BR47" s="160">
        <v>-446</v>
      </c>
      <c r="BS47" s="160">
        <v>108</v>
      </c>
      <c r="BT47" s="161">
        <v>8561</v>
      </c>
      <c r="BU47" s="125">
        <v>5760</v>
      </c>
      <c r="BV47" s="160">
        <v>0</v>
      </c>
      <c r="BX47" s="161">
        <v>2801</v>
      </c>
      <c r="BY47" s="160">
        <v>-225</v>
      </c>
      <c r="BZ47" s="161">
        <v>8</v>
      </c>
      <c r="CA47" s="161">
        <v>529</v>
      </c>
      <c r="CB47" s="161">
        <v>-49</v>
      </c>
      <c r="CC47" s="160">
        <v>2006</v>
      </c>
      <c r="CD47" s="160">
        <v>27685</v>
      </c>
      <c r="CE47" s="116">
        <v>7336</v>
      </c>
      <c r="CF47" s="150"/>
      <c r="CG47" s="161">
        <v>943</v>
      </c>
      <c r="CH47" s="160">
        <v>-2768</v>
      </c>
      <c r="CI47" s="159">
        <v>-9730</v>
      </c>
      <c r="CK47" s="124"/>
      <c r="CL47" s="161"/>
      <c r="CM47" s="124"/>
      <c r="CN47" s="265">
        <v>19</v>
      </c>
      <c r="CO47" s="130"/>
      <c r="CP47" s="116">
        <v>9</v>
      </c>
      <c r="CQ47" s="267">
        <v>6862</v>
      </c>
      <c r="CR47" s="124"/>
      <c r="CS47" s="268">
        <v>2.5698030634573303</v>
      </c>
      <c r="CT47" s="269">
        <v>79.918090208546644</v>
      </c>
      <c r="CU47" s="160">
        <v>-7831.9731856601575</v>
      </c>
      <c r="CV47" s="130"/>
      <c r="CW47" s="130"/>
      <c r="CX47" s="130"/>
      <c r="CY47" s="269">
        <v>50.403819846364307</v>
      </c>
      <c r="CZ47" s="125">
        <v>1551.0055377440979</v>
      </c>
      <c r="DA47" s="125">
        <v>39.508721078057462</v>
      </c>
      <c r="DB47" s="273">
        <v>14328.912853395512</v>
      </c>
      <c r="DC47" s="124"/>
      <c r="DD47" s="117">
        <v>37411</v>
      </c>
      <c r="DE47" s="117">
        <v>81321</v>
      </c>
      <c r="DF47" s="117">
        <v>0</v>
      </c>
      <c r="DG47" s="117">
        <v>-43910</v>
      </c>
      <c r="DH47" s="117">
        <v>28245</v>
      </c>
      <c r="DI47" s="117">
        <v>27129</v>
      </c>
      <c r="DJ47" s="136"/>
      <c r="DL47" s="160">
        <v>-468</v>
      </c>
      <c r="DM47" s="160">
        <v>228</v>
      </c>
      <c r="DN47" s="161">
        <v>11224</v>
      </c>
      <c r="DO47" s="116">
        <v>7659</v>
      </c>
      <c r="DP47" s="160">
        <v>-2</v>
      </c>
      <c r="DR47" s="161">
        <v>3563</v>
      </c>
      <c r="DS47" s="116">
        <v>-154</v>
      </c>
      <c r="DT47" s="117">
        <v>-85</v>
      </c>
      <c r="DU47" s="117">
        <v>227</v>
      </c>
      <c r="DV47" s="117">
        <v>-123</v>
      </c>
      <c r="DW47" s="160">
        <v>2974</v>
      </c>
      <c r="DX47" s="160">
        <v>30131</v>
      </c>
      <c r="DY47" s="116">
        <v>10124</v>
      </c>
      <c r="DZ47" s="150"/>
      <c r="EA47" s="117">
        <v>-1216</v>
      </c>
      <c r="EB47" s="116">
        <v>-4050</v>
      </c>
      <c r="EC47" s="159">
        <v>-432</v>
      </c>
      <c r="EE47" s="125"/>
      <c r="EF47" s="161"/>
      <c r="EG47" s="124"/>
      <c r="EH47" s="253">
        <v>19</v>
      </c>
      <c r="EI47" s="130"/>
      <c r="EJ47" s="125">
        <v>15</v>
      </c>
      <c r="EK47" s="116"/>
      <c r="EL47" s="159"/>
      <c r="EN47" s="116"/>
      <c r="EO47" s="116"/>
      <c r="EP47" s="159"/>
      <c r="EQ47" s="159">
        <v>-9678</v>
      </c>
      <c r="ER47" s="116">
        <v>467</v>
      </c>
      <c r="ES47" s="116">
        <v>710</v>
      </c>
      <c r="ET47" s="160">
        <v>-18278</v>
      </c>
      <c r="EU47" s="116">
        <v>99</v>
      </c>
      <c r="EV47" s="116">
        <v>1113</v>
      </c>
      <c r="EW47" s="160">
        <v>-12037</v>
      </c>
      <c r="EX47" s="160">
        <v>359</v>
      </c>
      <c r="EY47" s="160">
        <v>1122</v>
      </c>
      <c r="EZ47" s="116">
        <v>2474</v>
      </c>
      <c r="FA47" s="116">
        <v>-265</v>
      </c>
      <c r="FB47" s="116">
        <v>7324</v>
      </c>
      <c r="FC47" s="160">
        <v>439</v>
      </c>
      <c r="FD47" s="116">
        <v>2003</v>
      </c>
      <c r="FE47" s="116">
        <v>2298</v>
      </c>
      <c r="FF47" s="3">
        <v>41708</v>
      </c>
      <c r="FG47" s="3">
        <v>36299</v>
      </c>
      <c r="FH47" s="3">
        <v>5409</v>
      </c>
      <c r="FI47" s="3">
        <v>241</v>
      </c>
      <c r="FJ47" s="125">
        <v>45618</v>
      </c>
      <c r="FK47" s="160">
        <v>39579</v>
      </c>
      <c r="FL47" s="125">
        <v>6039</v>
      </c>
      <c r="FM47" s="116">
        <v>241</v>
      </c>
      <c r="FN47" s="125">
        <v>45720</v>
      </c>
      <c r="FO47" s="116">
        <v>39577</v>
      </c>
      <c r="FP47" s="116">
        <v>6143</v>
      </c>
      <c r="FQ47" s="116">
        <v>-1216</v>
      </c>
      <c r="FR47" s="153">
        <v>39215</v>
      </c>
      <c r="FS47" s="153">
        <v>41721</v>
      </c>
      <c r="FT47" s="276">
        <v>46074</v>
      </c>
      <c r="FU47" s="3">
        <v>787</v>
      </c>
      <c r="FV47" s="159">
        <v>872</v>
      </c>
      <c r="FW47" s="170"/>
      <c r="FZ47" s="155"/>
      <c r="GA47" s="2"/>
      <c r="GD47" s="163"/>
      <c r="GE47" s="2"/>
      <c r="GF47" s="2"/>
    </row>
    <row r="48" spans="1:188" ht="14.5" x14ac:dyDescent="0.35">
      <c r="A48" s="72">
        <v>149</v>
      </c>
      <c r="B48" s="70" t="s">
        <v>46</v>
      </c>
      <c r="C48" s="158">
        <v>5403</v>
      </c>
      <c r="D48" s="171"/>
      <c r="E48" s="128">
        <v>1.3189522342064715</v>
      </c>
      <c r="F48" s="128">
        <v>48.848763936015509</v>
      </c>
      <c r="G48" s="129">
        <v>-3266.5186007773459</v>
      </c>
      <c r="H48" s="216"/>
      <c r="I48" s="172"/>
      <c r="J48" s="218"/>
      <c r="K48" s="128">
        <v>39.797821179703604</v>
      </c>
      <c r="L48" s="129">
        <v>864.33462890986493</v>
      </c>
      <c r="M48" s="129">
        <v>33.121854536268778</v>
      </c>
      <c r="N48" s="129">
        <v>9524.8935776420494</v>
      </c>
      <c r="O48" s="129"/>
      <c r="P48" s="117">
        <v>16424</v>
      </c>
      <c r="Q48" s="161">
        <v>46096</v>
      </c>
      <c r="R48" s="161">
        <v>-3</v>
      </c>
      <c r="S48" s="161">
        <v>-29675</v>
      </c>
      <c r="T48" s="124">
        <v>25976</v>
      </c>
      <c r="U48" s="124">
        <v>7112</v>
      </c>
      <c r="V48" s="136"/>
      <c r="X48" s="116">
        <v>-127</v>
      </c>
      <c r="Y48" s="116">
        <v>11</v>
      </c>
      <c r="Z48" s="161">
        <v>3297</v>
      </c>
      <c r="AA48" s="116">
        <v>2533</v>
      </c>
      <c r="AB48" s="117">
        <v>0</v>
      </c>
      <c r="AD48" s="161">
        <v>764</v>
      </c>
      <c r="AE48" s="116">
        <v>0</v>
      </c>
      <c r="AF48" s="116">
        <v>-2</v>
      </c>
      <c r="AG48" s="116">
        <v>0</v>
      </c>
      <c r="AH48" s="116">
        <v>0</v>
      </c>
      <c r="AI48" s="160">
        <v>762</v>
      </c>
      <c r="AJ48" s="161">
        <v>8429</v>
      </c>
      <c r="AK48" s="161">
        <v>3134</v>
      </c>
      <c r="AL48" s="150"/>
      <c r="AM48" s="161">
        <v>17</v>
      </c>
      <c r="AN48" s="161">
        <v>-2469</v>
      </c>
      <c r="AO48" s="160">
        <v>490</v>
      </c>
      <c r="AQ48" s="160"/>
      <c r="AR48" s="117"/>
      <c r="AS48" s="117"/>
      <c r="AT48" s="99">
        <v>20.75</v>
      </c>
      <c r="AU48" s="130"/>
      <c r="AV48" s="262">
        <v>108</v>
      </c>
      <c r="AW48" s="267">
        <v>5386</v>
      </c>
      <c r="AX48" s="124"/>
      <c r="AY48" s="255">
        <v>0.46135552913198574</v>
      </c>
      <c r="AZ48" s="259">
        <v>48.317455125321992</v>
      </c>
      <c r="BA48" s="160">
        <v>-3657.6308949127365</v>
      </c>
      <c r="BB48" s="130"/>
      <c r="BC48" s="130"/>
      <c r="BD48" s="130"/>
      <c r="BE48" s="128">
        <v>38.827951215770497</v>
      </c>
      <c r="BF48" s="160">
        <v>420.34905310063124</v>
      </c>
      <c r="BG48" s="129">
        <v>31.887568983256944</v>
      </c>
      <c r="BH48" s="131">
        <v>9924.8050501299676</v>
      </c>
      <c r="BI48" s="124"/>
      <c r="BJ48" s="117">
        <v>15921</v>
      </c>
      <c r="BK48" s="117">
        <v>47765</v>
      </c>
      <c r="BL48" s="161">
        <v>3</v>
      </c>
      <c r="BM48" s="161">
        <v>-31841</v>
      </c>
      <c r="BN48" s="117">
        <v>25953</v>
      </c>
      <c r="BO48" s="117">
        <v>7040</v>
      </c>
      <c r="BP48" s="136"/>
      <c r="BR48" s="160">
        <v>-116</v>
      </c>
      <c r="BS48" s="160">
        <v>11</v>
      </c>
      <c r="BT48" s="161">
        <v>1047</v>
      </c>
      <c r="BU48" s="125">
        <v>2095</v>
      </c>
      <c r="BV48" s="161">
        <v>0</v>
      </c>
      <c r="BW48" s="117"/>
      <c r="BX48" s="161">
        <v>-1048</v>
      </c>
      <c r="BY48" s="160">
        <v>0</v>
      </c>
      <c r="BZ48" s="160">
        <v>0</v>
      </c>
      <c r="CA48" s="160">
        <v>0</v>
      </c>
      <c r="CB48" s="160">
        <v>0</v>
      </c>
      <c r="CC48" s="160">
        <v>-1048</v>
      </c>
      <c r="CD48" s="160">
        <v>7381</v>
      </c>
      <c r="CE48" s="116">
        <v>932</v>
      </c>
      <c r="CF48" s="150"/>
      <c r="CG48" s="160">
        <v>197</v>
      </c>
      <c r="CH48" s="160">
        <v>-2406</v>
      </c>
      <c r="CI48" s="159">
        <v>-1929</v>
      </c>
      <c r="CK48" s="124"/>
      <c r="CL48" s="161"/>
      <c r="CM48" s="124"/>
      <c r="CN48" s="265">
        <v>20.75</v>
      </c>
      <c r="CO48" s="130"/>
      <c r="CP48" s="116">
        <v>240</v>
      </c>
      <c r="CQ48" s="267">
        <v>5321</v>
      </c>
      <c r="CR48" s="124"/>
      <c r="CS48" s="268">
        <v>2.5070859167404782</v>
      </c>
      <c r="CT48" s="269">
        <v>42.912795924483071</v>
      </c>
      <c r="CU48" s="160">
        <v>-3294.6814508551024</v>
      </c>
      <c r="CV48" s="130"/>
      <c r="CW48" s="130"/>
      <c r="CX48" s="130"/>
      <c r="CY48" s="269">
        <v>44.863701917393669</v>
      </c>
      <c r="CZ48" s="125">
        <v>391.27983461755309</v>
      </c>
      <c r="DA48" s="125">
        <v>13.890401944835402</v>
      </c>
      <c r="DB48" s="273">
        <v>10281.713963540687</v>
      </c>
      <c r="DC48" s="124"/>
      <c r="DD48" s="117">
        <v>17254</v>
      </c>
      <c r="DE48" s="117">
        <v>47736</v>
      </c>
      <c r="DF48" s="117">
        <v>-1</v>
      </c>
      <c r="DG48" s="117">
        <v>-30483</v>
      </c>
      <c r="DH48" s="117">
        <v>26759</v>
      </c>
      <c r="DI48" s="117">
        <v>9379</v>
      </c>
      <c r="DJ48" s="136"/>
      <c r="DL48" s="160">
        <v>-99</v>
      </c>
      <c r="DM48" s="160">
        <v>6</v>
      </c>
      <c r="DN48" s="161">
        <v>5562</v>
      </c>
      <c r="DO48" s="116">
        <v>2190</v>
      </c>
      <c r="DP48" s="161">
        <v>0</v>
      </c>
      <c r="DQ48" s="117"/>
      <c r="DR48" s="161">
        <v>3372</v>
      </c>
      <c r="DS48" s="116">
        <v>0</v>
      </c>
      <c r="DT48" s="116">
        <v>6</v>
      </c>
      <c r="DU48" s="116">
        <v>0</v>
      </c>
      <c r="DV48" s="116">
        <v>0</v>
      </c>
      <c r="DW48" s="160">
        <v>3378</v>
      </c>
      <c r="DX48" s="160">
        <v>11182</v>
      </c>
      <c r="DY48" s="116">
        <v>5145</v>
      </c>
      <c r="DZ48" s="150"/>
      <c r="EA48" s="116">
        <v>-1206</v>
      </c>
      <c r="EB48" s="116">
        <v>-2159</v>
      </c>
      <c r="EC48" s="159">
        <v>1838</v>
      </c>
      <c r="EE48" s="125"/>
      <c r="EF48" s="161"/>
      <c r="EG48" s="124"/>
      <c r="EH48" s="253">
        <v>20.75</v>
      </c>
      <c r="EI48" s="130"/>
      <c r="EJ48" s="125">
        <v>115</v>
      </c>
      <c r="EK48" s="116"/>
      <c r="EL48" s="159"/>
      <c r="EN48" s="116"/>
      <c r="EO48" s="116"/>
      <c r="EP48" s="159"/>
      <c r="EQ48" s="159">
        <v>-2720</v>
      </c>
      <c r="ER48" s="116">
        <v>28</v>
      </c>
      <c r="ES48" s="116">
        <v>48</v>
      </c>
      <c r="ET48" s="160">
        <v>-2964</v>
      </c>
      <c r="EU48" s="116">
        <v>14</v>
      </c>
      <c r="EV48" s="116">
        <v>89</v>
      </c>
      <c r="EW48" s="160">
        <v>-4640</v>
      </c>
      <c r="EX48" s="160">
        <v>35</v>
      </c>
      <c r="EY48" s="160">
        <v>1298</v>
      </c>
      <c r="EZ48" s="116">
        <v>4088</v>
      </c>
      <c r="FA48" s="116">
        <v>25</v>
      </c>
      <c r="FB48" s="116">
        <v>809</v>
      </c>
      <c r="FC48" s="160">
        <v>1284</v>
      </c>
      <c r="FD48" s="116">
        <v>1044</v>
      </c>
      <c r="FE48" s="116">
        <v>-268</v>
      </c>
      <c r="FF48" s="3">
        <v>18304</v>
      </c>
      <c r="FG48" s="3">
        <v>15881</v>
      </c>
      <c r="FH48" s="3">
        <v>2423</v>
      </c>
      <c r="FI48" s="3">
        <v>0</v>
      </c>
      <c r="FJ48" s="125">
        <v>17991</v>
      </c>
      <c r="FK48" s="160">
        <v>14385</v>
      </c>
      <c r="FL48" s="125">
        <v>3606</v>
      </c>
      <c r="FM48" s="116">
        <v>134</v>
      </c>
      <c r="FN48" s="125">
        <v>16609</v>
      </c>
      <c r="FO48" s="116">
        <v>13295</v>
      </c>
      <c r="FP48" s="116">
        <v>3314</v>
      </c>
      <c r="FQ48" s="116">
        <v>-1206</v>
      </c>
      <c r="FR48" s="153">
        <v>397</v>
      </c>
      <c r="FS48" s="153">
        <v>351</v>
      </c>
      <c r="FT48" s="276">
        <v>1010</v>
      </c>
      <c r="FU48" s="3">
        <v>2634</v>
      </c>
      <c r="FV48" s="159">
        <v>2848</v>
      </c>
      <c r="FW48" s="170"/>
      <c r="FZ48" s="155"/>
      <c r="GA48" s="2"/>
      <c r="GD48" s="163"/>
      <c r="GE48" s="2"/>
      <c r="GF48" s="2"/>
    </row>
    <row r="49" spans="1:188" ht="14.5" x14ac:dyDescent="0.35">
      <c r="A49" s="72">
        <v>151</v>
      </c>
      <c r="B49" s="70" t="s">
        <v>47</v>
      </c>
      <c r="C49" s="158">
        <v>1976</v>
      </c>
      <c r="D49" s="171"/>
      <c r="E49" s="128">
        <v>0.91940298507462681</v>
      </c>
      <c r="F49" s="128">
        <v>26.456264017942967</v>
      </c>
      <c r="G49" s="129">
        <v>-1535.4251012145751</v>
      </c>
      <c r="H49" s="216"/>
      <c r="I49" s="172"/>
      <c r="J49" s="218"/>
      <c r="K49" s="128">
        <v>57.207776996954792</v>
      </c>
      <c r="L49" s="129">
        <v>1632.5910931174087</v>
      </c>
      <c r="M49" s="129">
        <v>35.747594037463195</v>
      </c>
      <c r="N49" s="129">
        <v>16669.534412955465</v>
      </c>
      <c r="O49" s="129"/>
      <c r="P49" s="117">
        <v>16393</v>
      </c>
      <c r="Q49" s="161">
        <v>30729</v>
      </c>
      <c r="R49" s="161">
        <v>129</v>
      </c>
      <c r="S49" s="161">
        <v>-14207</v>
      </c>
      <c r="T49" s="124">
        <v>6172</v>
      </c>
      <c r="U49" s="124">
        <v>8645</v>
      </c>
      <c r="V49" s="136"/>
      <c r="X49" s="116">
        <v>-49</v>
      </c>
      <c r="Y49" s="116">
        <v>6</v>
      </c>
      <c r="Z49" s="161">
        <v>567</v>
      </c>
      <c r="AA49" s="116">
        <v>892</v>
      </c>
      <c r="AB49" s="116">
        <v>0</v>
      </c>
      <c r="AD49" s="161">
        <v>-325</v>
      </c>
      <c r="AE49" s="117">
        <v>0</v>
      </c>
      <c r="AF49" s="117">
        <v>2</v>
      </c>
      <c r="AG49" s="116">
        <v>0</v>
      </c>
      <c r="AH49" s="116">
        <v>-1</v>
      </c>
      <c r="AI49" s="160">
        <v>-324</v>
      </c>
      <c r="AJ49" s="161">
        <v>1414</v>
      </c>
      <c r="AK49" s="161">
        <v>479</v>
      </c>
      <c r="AL49" s="150"/>
      <c r="AM49" s="161">
        <v>-241</v>
      </c>
      <c r="AN49" s="161">
        <v>-621</v>
      </c>
      <c r="AO49" s="160">
        <v>-726</v>
      </c>
      <c r="AQ49" s="160"/>
      <c r="AR49" s="117"/>
      <c r="AS49" s="117"/>
      <c r="AT49" s="99">
        <v>22</v>
      </c>
      <c r="AU49" s="130"/>
      <c r="AV49" s="262">
        <v>223</v>
      </c>
      <c r="AW49" s="267">
        <v>1951</v>
      </c>
      <c r="AX49" s="124"/>
      <c r="AY49" s="255">
        <v>1.5100502512562815</v>
      </c>
      <c r="AZ49" s="259">
        <v>27.019070779470113</v>
      </c>
      <c r="BA49" s="160">
        <v>-1899.5386981035367</v>
      </c>
      <c r="BB49" s="130"/>
      <c r="BC49" s="130"/>
      <c r="BD49" s="130"/>
      <c r="BE49" s="128">
        <v>56.476634624536025</v>
      </c>
      <c r="BF49" s="160">
        <v>1266.0174269605332</v>
      </c>
      <c r="BG49" s="129">
        <v>36.361319618200355</v>
      </c>
      <c r="BH49" s="131">
        <v>16593.029215786773</v>
      </c>
      <c r="BI49" s="124"/>
      <c r="BJ49" s="117">
        <v>16586</v>
      </c>
      <c r="BK49" s="117">
        <v>30841</v>
      </c>
      <c r="BL49" s="161">
        <v>180</v>
      </c>
      <c r="BM49" s="161">
        <v>-14075</v>
      </c>
      <c r="BN49" s="117">
        <v>6099</v>
      </c>
      <c r="BO49" s="117">
        <v>8567</v>
      </c>
      <c r="BP49" s="136"/>
      <c r="BR49" s="160">
        <v>-51</v>
      </c>
      <c r="BS49" s="160">
        <v>10</v>
      </c>
      <c r="BT49" s="161">
        <v>550</v>
      </c>
      <c r="BU49" s="125">
        <v>853</v>
      </c>
      <c r="BV49" s="160">
        <v>-21</v>
      </c>
      <c r="BX49" s="161">
        <v>-324</v>
      </c>
      <c r="BY49" s="161">
        <v>3</v>
      </c>
      <c r="BZ49" s="161">
        <v>0</v>
      </c>
      <c r="CA49" s="160">
        <v>0</v>
      </c>
      <c r="CB49" s="160">
        <v>2</v>
      </c>
      <c r="CC49" s="160">
        <v>-319</v>
      </c>
      <c r="CD49" s="160">
        <v>930</v>
      </c>
      <c r="CE49" s="116">
        <v>366</v>
      </c>
      <c r="CF49" s="150"/>
      <c r="CG49" s="161">
        <v>-297</v>
      </c>
      <c r="CH49" s="160">
        <v>-347</v>
      </c>
      <c r="CI49" s="159">
        <v>-667</v>
      </c>
      <c r="CK49" s="124"/>
      <c r="CL49" s="161"/>
      <c r="CM49" s="124"/>
      <c r="CN49" s="265">
        <v>22</v>
      </c>
      <c r="CO49" s="130"/>
      <c r="CP49" s="116">
        <v>214</v>
      </c>
      <c r="CQ49" s="267">
        <v>1925</v>
      </c>
      <c r="CR49" s="124"/>
      <c r="CS49" s="268">
        <v>4.9379014989293362</v>
      </c>
      <c r="CT49" s="269">
        <v>24.401276450723426</v>
      </c>
      <c r="CU49" s="160">
        <v>-1255.5844155844156</v>
      </c>
      <c r="CV49" s="130"/>
      <c r="CW49" s="130"/>
      <c r="CX49" s="130"/>
      <c r="CY49" s="269">
        <v>60.50976189366758</v>
      </c>
      <c r="CZ49" s="125">
        <v>1690.909090909091</v>
      </c>
      <c r="DA49" s="125">
        <v>37.782636349181111</v>
      </c>
      <c r="DB49" s="273">
        <v>16335.064935064935</v>
      </c>
      <c r="DC49" s="124"/>
      <c r="DD49" s="117">
        <v>16477</v>
      </c>
      <c r="DE49" s="117">
        <v>29996</v>
      </c>
      <c r="DF49" s="117">
        <v>7</v>
      </c>
      <c r="DG49" s="117">
        <v>-13512</v>
      </c>
      <c r="DH49" s="117">
        <v>6914</v>
      </c>
      <c r="DI49" s="117">
        <v>8886</v>
      </c>
      <c r="DJ49" s="136"/>
      <c r="DL49" s="160">
        <v>-49</v>
      </c>
      <c r="DM49" s="160">
        <v>18</v>
      </c>
      <c r="DN49" s="161">
        <v>2257</v>
      </c>
      <c r="DO49" s="116">
        <v>887</v>
      </c>
      <c r="DP49" s="160">
        <v>0</v>
      </c>
      <c r="DR49" s="161">
        <v>1370</v>
      </c>
      <c r="DS49" s="117">
        <v>0</v>
      </c>
      <c r="DT49" s="117">
        <v>0</v>
      </c>
      <c r="DU49" s="116">
        <v>0</v>
      </c>
      <c r="DV49" s="116">
        <v>0</v>
      </c>
      <c r="DW49" s="160">
        <v>1370</v>
      </c>
      <c r="DX49" s="160">
        <v>2030</v>
      </c>
      <c r="DY49" s="116">
        <v>2197</v>
      </c>
      <c r="DZ49" s="150"/>
      <c r="EA49" s="117">
        <v>64</v>
      </c>
      <c r="EB49" s="116">
        <v>-418</v>
      </c>
      <c r="EC49" s="159">
        <v>1283</v>
      </c>
      <c r="EE49" s="125"/>
      <c r="EF49" s="161"/>
      <c r="EG49" s="124"/>
      <c r="EH49" s="253">
        <v>22</v>
      </c>
      <c r="EI49" s="130"/>
      <c r="EJ49" s="125">
        <v>83</v>
      </c>
      <c r="EK49" s="116"/>
      <c r="EL49" s="159"/>
      <c r="EN49" s="116"/>
      <c r="EO49" s="116"/>
      <c r="EP49" s="159"/>
      <c r="EQ49" s="159">
        <v>-1518</v>
      </c>
      <c r="ER49" s="116">
        <v>49</v>
      </c>
      <c r="ES49" s="116">
        <v>264</v>
      </c>
      <c r="ET49" s="160">
        <v>-1113</v>
      </c>
      <c r="EU49" s="116">
        <v>28</v>
      </c>
      <c r="EV49" s="116">
        <v>52</v>
      </c>
      <c r="EW49" s="160">
        <v>-963</v>
      </c>
      <c r="EX49" s="160">
        <v>34</v>
      </c>
      <c r="EY49" s="160">
        <v>15</v>
      </c>
      <c r="EZ49" s="116">
        <v>745</v>
      </c>
      <c r="FA49" s="116">
        <v>214</v>
      </c>
      <c r="FB49" s="116">
        <v>568</v>
      </c>
      <c r="FC49" s="160">
        <v>191</v>
      </c>
      <c r="FD49" s="116">
        <v>569</v>
      </c>
      <c r="FE49" s="116">
        <v>-169</v>
      </c>
      <c r="FF49" s="3">
        <v>3847</v>
      </c>
      <c r="FG49" s="3">
        <v>3386</v>
      </c>
      <c r="FH49" s="3">
        <v>461</v>
      </c>
      <c r="FI49" s="3">
        <v>4</v>
      </c>
      <c r="FJ49" s="125">
        <v>4258</v>
      </c>
      <c r="FK49" s="160">
        <v>3656</v>
      </c>
      <c r="FL49" s="125">
        <v>602</v>
      </c>
      <c r="FM49" s="116">
        <v>0</v>
      </c>
      <c r="FN49" s="125">
        <v>4241</v>
      </c>
      <c r="FO49" s="116">
        <v>3703</v>
      </c>
      <c r="FP49" s="116">
        <v>538</v>
      </c>
      <c r="FQ49" s="116">
        <v>64</v>
      </c>
      <c r="FR49" s="153">
        <v>398</v>
      </c>
      <c r="FS49" s="153">
        <v>322</v>
      </c>
      <c r="FT49" s="276">
        <v>246</v>
      </c>
      <c r="FU49" s="3">
        <v>1607</v>
      </c>
      <c r="FV49" s="159">
        <v>1777</v>
      </c>
      <c r="FW49" s="170"/>
      <c r="FZ49" s="155"/>
      <c r="GA49" s="2"/>
      <c r="GD49" s="163"/>
      <c r="GE49" s="2"/>
      <c r="GF49" s="2"/>
    </row>
    <row r="50" spans="1:188" ht="14.5" x14ac:dyDescent="0.35">
      <c r="A50" s="72">
        <v>152</v>
      </c>
      <c r="B50" s="70" t="s">
        <v>48</v>
      </c>
      <c r="C50" s="158">
        <v>4601</v>
      </c>
      <c r="D50" s="171"/>
      <c r="E50" s="128">
        <v>2.8636363636363638</v>
      </c>
      <c r="F50" s="128">
        <v>42.016602156819786</v>
      </c>
      <c r="G50" s="129">
        <v>-2099.7609215387956</v>
      </c>
      <c r="H50" s="216"/>
      <c r="I50" s="172"/>
      <c r="J50" s="218"/>
      <c r="K50" s="128">
        <v>58.508196721311478</v>
      </c>
      <c r="L50" s="129">
        <v>1151.4888067811346</v>
      </c>
      <c r="M50" s="129">
        <v>46.375605544630439</v>
      </c>
      <c r="N50" s="129">
        <v>9062.8124320799834</v>
      </c>
      <c r="O50" s="129"/>
      <c r="P50" s="117">
        <v>13048</v>
      </c>
      <c r="Q50" s="161">
        <v>37479</v>
      </c>
      <c r="R50" s="161">
        <v>5</v>
      </c>
      <c r="S50" s="161">
        <v>-24426</v>
      </c>
      <c r="T50" s="124">
        <v>14646</v>
      </c>
      <c r="U50" s="124">
        <v>13385</v>
      </c>
      <c r="V50" s="136"/>
      <c r="X50" s="116">
        <v>-144</v>
      </c>
      <c r="Y50" s="116">
        <v>41</v>
      </c>
      <c r="Z50" s="161">
        <v>3502</v>
      </c>
      <c r="AA50" s="116">
        <v>1963</v>
      </c>
      <c r="AB50" s="116">
        <v>0</v>
      </c>
      <c r="AD50" s="161">
        <v>1539</v>
      </c>
      <c r="AE50" s="117">
        <v>-1</v>
      </c>
      <c r="AF50" s="117">
        <v>57</v>
      </c>
      <c r="AG50" s="116">
        <v>0</v>
      </c>
      <c r="AH50" s="116">
        <v>0</v>
      </c>
      <c r="AI50" s="160">
        <v>1595</v>
      </c>
      <c r="AJ50" s="161">
        <v>13710</v>
      </c>
      <c r="AK50" s="161">
        <v>3476</v>
      </c>
      <c r="AL50" s="150"/>
      <c r="AM50" s="161">
        <v>-95</v>
      </c>
      <c r="AN50" s="161">
        <v>-1124</v>
      </c>
      <c r="AO50" s="160">
        <v>609</v>
      </c>
      <c r="AQ50" s="160"/>
      <c r="AR50" s="117"/>
      <c r="AS50" s="117"/>
      <c r="AT50" s="99">
        <v>21.5</v>
      </c>
      <c r="AU50" s="130"/>
      <c r="AV50" s="262">
        <v>58</v>
      </c>
      <c r="AW50" s="267">
        <v>4522</v>
      </c>
      <c r="AX50" s="124"/>
      <c r="AY50" s="255">
        <v>2.0457456541628547</v>
      </c>
      <c r="AZ50" s="259">
        <v>48.127014444311804</v>
      </c>
      <c r="BA50" s="160">
        <v>-3093.9849624060153</v>
      </c>
      <c r="BB50" s="130"/>
      <c r="BC50" s="130"/>
      <c r="BD50" s="130"/>
      <c r="BE50" s="128">
        <v>54.768632991875663</v>
      </c>
      <c r="BF50" s="160">
        <v>962.40601503759399</v>
      </c>
      <c r="BG50" s="129">
        <v>40.339821015082293</v>
      </c>
      <c r="BH50" s="131">
        <v>10600.840336134454</v>
      </c>
      <c r="BI50" s="124"/>
      <c r="BJ50" s="117">
        <v>13035</v>
      </c>
      <c r="BK50" s="117">
        <v>39748</v>
      </c>
      <c r="BL50" s="161">
        <v>1</v>
      </c>
      <c r="BM50" s="161">
        <v>-26712</v>
      </c>
      <c r="BN50" s="117">
        <v>15214</v>
      </c>
      <c r="BO50" s="117">
        <v>13636</v>
      </c>
      <c r="BP50" s="136"/>
      <c r="BR50" s="160">
        <v>-137</v>
      </c>
      <c r="BS50" s="160">
        <v>93</v>
      </c>
      <c r="BT50" s="161">
        <v>2094</v>
      </c>
      <c r="BU50" s="125">
        <v>2213</v>
      </c>
      <c r="BV50" s="160">
        <v>0</v>
      </c>
      <c r="BX50" s="161">
        <v>-119</v>
      </c>
      <c r="BY50" s="161">
        <v>7</v>
      </c>
      <c r="BZ50" s="160">
        <v>6</v>
      </c>
      <c r="CA50" s="160">
        <v>0</v>
      </c>
      <c r="CB50" s="160">
        <v>0</v>
      </c>
      <c r="CC50" s="160">
        <v>-106</v>
      </c>
      <c r="CD50" s="160">
        <v>13465</v>
      </c>
      <c r="CE50" s="116">
        <v>2082</v>
      </c>
      <c r="CF50" s="150"/>
      <c r="CG50" s="161">
        <v>576</v>
      </c>
      <c r="CH50" s="160">
        <v>-951</v>
      </c>
      <c r="CI50" s="159">
        <v>-4191</v>
      </c>
      <c r="CK50" s="124"/>
      <c r="CL50" s="161"/>
      <c r="CM50" s="124"/>
      <c r="CN50" s="265">
        <v>21.5</v>
      </c>
      <c r="CO50" s="130"/>
      <c r="CP50" s="116">
        <v>135</v>
      </c>
      <c r="CQ50" s="267">
        <v>4471</v>
      </c>
      <c r="CR50" s="124"/>
      <c r="CS50" s="268">
        <v>3.2467729688686409</v>
      </c>
      <c r="CT50" s="269">
        <v>46.799577865467562</v>
      </c>
      <c r="CU50" s="160">
        <v>-2865.1308432118094</v>
      </c>
      <c r="CV50" s="130"/>
      <c r="CW50" s="130"/>
      <c r="CX50" s="130"/>
      <c r="CY50" s="269">
        <v>56.112433075550271</v>
      </c>
      <c r="CZ50" s="125">
        <v>1269.9619771863117</v>
      </c>
      <c r="DA50" s="125">
        <v>46.924557351809085</v>
      </c>
      <c r="DB50" s="273">
        <v>9878.3269961977185</v>
      </c>
      <c r="DC50" s="124"/>
      <c r="DD50" s="117">
        <v>12785</v>
      </c>
      <c r="DE50" s="117">
        <v>39475</v>
      </c>
      <c r="DF50" s="117">
        <v>60</v>
      </c>
      <c r="DG50" s="117">
        <v>-26630</v>
      </c>
      <c r="DH50" s="117">
        <v>15363</v>
      </c>
      <c r="DI50" s="117">
        <v>15440</v>
      </c>
      <c r="DJ50" s="136"/>
      <c r="DL50" s="160">
        <v>-131</v>
      </c>
      <c r="DM50" s="160">
        <v>96</v>
      </c>
      <c r="DN50" s="161">
        <v>4138</v>
      </c>
      <c r="DO50" s="116">
        <v>2537</v>
      </c>
      <c r="DP50" s="160">
        <v>0</v>
      </c>
      <c r="DR50" s="161">
        <v>1601</v>
      </c>
      <c r="DS50" s="117">
        <v>0</v>
      </c>
      <c r="DT50" s="116">
        <v>-1</v>
      </c>
      <c r="DU50" s="116">
        <v>1</v>
      </c>
      <c r="DV50" s="116">
        <v>0</v>
      </c>
      <c r="DW50" s="160">
        <v>1599</v>
      </c>
      <c r="DX50" s="160">
        <v>15092</v>
      </c>
      <c r="DY50" s="116">
        <v>4097</v>
      </c>
      <c r="DZ50" s="150"/>
      <c r="EA50" s="117">
        <v>9</v>
      </c>
      <c r="EB50" s="116">
        <v>-1179</v>
      </c>
      <c r="EC50" s="159">
        <v>1066</v>
      </c>
      <c r="EE50" s="125"/>
      <c r="EF50" s="161"/>
      <c r="EG50" s="124"/>
      <c r="EH50" s="253">
        <v>21.5</v>
      </c>
      <c r="EI50" s="130"/>
      <c r="EJ50" s="125">
        <v>175</v>
      </c>
      <c r="EK50" s="116"/>
      <c r="EL50" s="159"/>
      <c r="EN50" s="116"/>
      <c r="EO50" s="116"/>
      <c r="EP50" s="159"/>
      <c r="EQ50" s="159">
        <v>-2914</v>
      </c>
      <c r="ER50" s="116">
        <v>3</v>
      </c>
      <c r="ES50" s="116">
        <v>44</v>
      </c>
      <c r="ET50" s="160">
        <v>-7010</v>
      </c>
      <c r="EU50" s="116">
        <v>616</v>
      </c>
      <c r="EV50" s="116">
        <v>121</v>
      </c>
      <c r="EW50" s="160">
        <v>-3308</v>
      </c>
      <c r="EX50" s="160">
        <v>154</v>
      </c>
      <c r="EY50" s="160">
        <v>123</v>
      </c>
      <c r="EZ50" s="116">
        <v>954</v>
      </c>
      <c r="FA50" s="116">
        <v>-3</v>
      </c>
      <c r="FB50" s="116">
        <v>3183</v>
      </c>
      <c r="FC50" s="160">
        <v>254</v>
      </c>
      <c r="FD50" s="116">
        <v>2429</v>
      </c>
      <c r="FE50" s="116">
        <v>-463</v>
      </c>
      <c r="FF50" s="3">
        <v>9520</v>
      </c>
      <c r="FG50" s="3">
        <v>8249</v>
      </c>
      <c r="FH50" s="3">
        <v>1271</v>
      </c>
      <c r="FI50" s="3">
        <v>3</v>
      </c>
      <c r="FJ50" s="125">
        <v>12005</v>
      </c>
      <c r="FK50" s="160">
        <v>10308</v>
      </c>
      <c r="FL50" s="125">
        <v>1697</v>
      </c>
      <c r="FM50" s="116">
        <v>71</v>
      </c>
      <c r="FN50" s="125">
        <v>12757</v>
      </c>
      <c r="FO50" s="116">
        <v>11228</v>
      </c>
      <c r="FP50" s="116">
        <v>1529</v>
      </c>
      <c r="FQ50" s="116">
        <v>9</v>
      </c>
      <c r="FR50" s="153">
        <v>662</v>
      </c>
      <c r="FS50" s="153">
        <v>617</v>
      </c>
      <c r="FT50" s="276">
        <v>658</v>
      </c>
      <c r="FU50" s="3">
        <v>365</v>
      </c>
      <c r="FV50" s="159">
        <v>356</v>
      </c>
      <c r="FW50" s="170"/>
      <c r="FZ50" s="155"/>
      <c r="GA50" s="2"/>
      <c r="GD50" s="163"/>
      <c r="GE50" s="2"/>
      <c r="GF50" s="2"/>
    </row>
    <row r="51" spans="1:188" ht="14.5" x14ac:dyDescent="0.35">
      <c r="A51" s="72">
        <v>165</v>
      </c>
      <c r="B51" s="70" t="s">
        <v>50</v>
      </c>
      <c r="C51" s="158">
        <v>16447</v>
      </c>
      <c r="D51" s="171"/>
      <c r="E51" s="128">
        <v>0.5884319365622328</v>
      </c>
      <c r="F51" s="128">
        <v>67.718800166478388</v>
      </c>
      <c r="G51" s="129">
        <v>-4106.0983766036352</v>
      </c>
      <c r="H51" s="216"/>
      <c r="I51" s="172"/>
      <c r="J51" s="218"/>
      <c r="K51" s="128">
        <v>36.681347361552888</v>
      </c>
      <c r="L51" s="129">
        <v>859.60965525627773</v>
      </c>
      <c r="M51" s="129">
        <v>34.716535591988858</v>
      </c>
      <c r="N51" s="129">
        <v>9037.6968444093145</v>
      </c>
      <c r="O51" s="129"/>
      <c r="P51" s="117">
        <v>44691</v>
      </c>
      <c r="Q51" s="161">
        <v>127061</v>
      </c>
      <c r="R51" s="161">
        <v>0</v>
      </c>
      <c r="S51" s="161">
        <v>-82370</v>
      </c>
      <c r="T51" s="124">
        <v>63114</v>
      </c>
      <c r="U51" s="124">
        <v>26747</v>
      </c>
      <c r="V51" s="136"/>
      <c r="X51" s="116">
        <v>-612</v>
      </c>
      <c r="Y51" s="116">
        <v>64</v>
      </c>
      <c r="Z51" s="161">
        <v>6943</v>
      </c>
      <c r="AA51" s="116">
        <v>7938</v>
      </c>
      <c r="AB51" s="116">
        <v>80</v>
      </c>
      <c r="AD51" s="161">
        <v>-915</v>
      </c>
      <c r="AE51" s="117">
        <v>0</v>
      </c>
      <c r="AF51" s="117">
        <v>1</v>
      </c>
      <c r="AG51" s="116">
        <v>-30</v>
      </c>
      <c r="AH51" s="116">
        <v>94</v>
      </c>
      <c r="AI51" s="160">
        <v>-850</v>
      </c>
      <c r="AJ51" s="161">
        <v>6209</v>
      </c>
      <c r="AK51" s="161">
        <v>6646</v>
      </c>
      <c r="AL51" s="150"/>
      <c r="AM51" s="161">
        <v>-1013</v>
      </c>
      <c r="AN51" s="161">
        <v>-12237</v>
      </c>
      <c r="AO51" s="160">
        <v>-775</v>
      </c>
      <c r="AQ51" s="160"/>
      <c r="AR51" s="117"/>
      <c r="AS51" s="117"/>
      <c r="AT51" s="99">
        <v>21</v>
      </c>
      <c r="AU51" s="130"/>
      <c r="AV51" s="262">
        <v>173</v>
      </c>
      <c r="AW51" s="267">
        <v>16413</v>
      </c>
      <c r="AX51" s="124"/>
      <c r="AY51" s="255">
        <v>0.47578771261269637</v>
      </c>
      <c r="AZ51" s="259">
        <v>69.299983853685035</v>
      </c>
      <c r="BA51" s="160">
        <v>-4543.959056845184</v>
      </c>
      <c r="BB51" s="130"/>
      <c r="BC51" s="130"/>
      <c r="BD51" s="130"/>
      <c r="BE51" s="128">
        <v>33.342129018818135</v>
      </c>
      <c r="BF51" s="160">
        <v>599.46383963931032</v>
      </c>
      <c r="BG51" s="129">
        <v>33.784879077136608</v>
      </c>
      <c r="BH51" s="131">
        <v>9306.1597514165605</v>
      </c>
      <c r="BI51" s="124"/>
      <c r="BJ51" s="117">
        <v>45775</v>
      </c>
      <c r="BK51" s="117">
        <v>131246</v>
      </c>
      <c r="BL51" s="161">
        <v>0</v>
      </c>
      <c r="BM51" s="161">
        <v>-85471</v>
      </c>
      <c r="BN51" s="117">
        <v>62622</v>
      </c>
      <c r="BO51" s="117">
        <v>27857</v>
      </c>
      <c r="BP51" s="136"/>
      <c r="BR51" s="160">
        <v>-578</v>
      </c>
      <c r="BS51" s="160">
        <v>98</v>
      </c>
      <c r="BT51" s="161">
        <v>4528</v>
      </c>
      <c r="BU51" s="125">
        <v>9143</v>
      </c>
      <c r="BV51" s="160">
        <v>128</v>
      </c>
      <c r="BX51" s="161">
        <v>-4487</v>
      </c>
      <c r="BY51" s="161">
        <v>-2</v>
      </c>
      <c r="BZ51" s="161">
        <v>5</v>
      </c>
      <c r="CA51" s="160">
        <v>28</v>
      </c>
      <c r="CB51" s="160">
        <v>99</v>
      </c>
      <c r="CC51" s="160">
        <v>-4413</v>
      </c>
      <c r="CD51" s="160">
        <v>1744</v>
      </c>
      <c r="CE51" s="116">
        <v>2499</v>
      </c>
      <c r="CF51" s="150"/>
      <c r="CG51" s="161">
        <v>-1130</v>
      </c>
      <c r="CH51" s="160">
        <v>-10168</v>
      </c>
      <c r="CI51" s="159">
        <v>-7286</v>
      </c>
      <c r="CK51" s="124"/>
      <c r="CL51" s="161"/>
      <c r="CM51" s="124"/>
      <c r="CN51" s="265">
        <v>21</v>
      </c>
      <c r="CO51" s="130"/>
      <c r="CP51" s="116">
        <v>218</v>
      </c>
      <c r="CQ51" s="267">
        <v>16237</v>
      </c>
      <c r="CR51" s="124"/>
      <c r="CS51" s="268">
        <v>3.9007244432519452</v>
      </c>
      <c r="CT51" s="269">
        <v>67.503528188368122</v>
      </c>
      <c r="CU51" s="160">
        <v>-4619.8189320687316</v>
      </c>
      <c r="CV51" s="130"/>
      <c r="CW51" s="130"/>
      <c r="CX51" s="130"/>
      <c r="CY51" s="269">
        <v>34.107372774446944</v>
      </c>
      <c r="CZ51" s="125">
        <v>883.78395023711278</v>
      </c>
      <c r="DA51" s="125">
        <v>34.265910399330089</v>
      </c>
      <c r="DB51" s="273">
        <v>9414.0543203793804</v>
      </c>
      <c r="DC51" s="124"/>
      <c r="DD51" s="117">
        <v>46034</v>
      </c>
      <c r="DE51" s="117">
        <v>133632</v>
      </c>
      <c r="DF51" s="117">
        <v>0</v>
      </c>
      <c r="DG51" s="117">
        <v>-87598</v>
      </c>
      <c r="DH51" s="117">
        <v>66481</v>
      </c>
      <c r="DI51" s="117">
        <v>35578</v>
      </c>
      <c r="DJ51" s="136"/>
      <c r="DL51" s="160">
        <v>-554</v>
      </c>
      <c r="DM51" s="160">
        <v>66</v>
      </c>
      <c r="DN51" s="161">
        <v>13973</v>
      </c>
      <c r="DO51" s="116">
        <v>9372</v>
      </c>
      <c r="DP51" s="160">
        <v>0</v>
      </c>
      <c r="DR51" s="161">
        <v>4601</v>
      </c>
      <c r="DS51" s="117">
        <v>-5</v>
      </c>
      <c r="DT51" s="117">
        <v>3</v>
      </c>
      <c r="DU51" s="116">
        <v>55</v>
      </c>
      <c r="DV51" s="116">
        <v>-108</v>
      </c>
      <c r="DW51" s="160">
        <v>4436</v>
      </c>
      <c r="DX51" s="160">
        <v>6180</v>
      </c>
      <c r="DY51" s="116">
        <v>13272</v>
      </c>
      <c r="DZ51" s="150"/>
      <c r="EA51" s="117">
        <v>-600</v>
      </c>
      <c r="EB51" s="116">
        <v>-3162</v>
      </c>
      <c r="EC51" s="159">
        <v>-481</v>
      </c>
      <c r="EE51" s="125"/>
      <c r="EF51" s="161"/>
      <c r="EG51" s="124"/>
      <c r="EH51" s="253">
        <v>21</v>
      </c>
      <c r="EI51" s="130"/>
      <c r="EJ51" s="125">
        <v>206</v>
      </c>
      <c r="EK51" s="116"/>
      <c r="EL51" s="159"/>
      <c r="EN51" s="116"/>
      <c r="EO51" s="116"/>
      <c r="EP51" s="159"/>
      <c r="EQ51" s="159">
        <v>-8597</v>
      </c>
      <c r="ER51" s="116">
        <v>221</v>
      </c>
      <c r="ES51" s="116">
        <v>955</v>
      </c>
      <c r="ET51" s="160">
        <v>-10648</v>
      </c>
      <c r="EU51" s="116">
        <v>306</v>
      </c>
      <c r="EV51" s="116">
        <v>557</v>
      </c>
      <c r="EW51" s="160">
        <v>-15369</v>
      </c>
      <c r="EX51" s="160">
        <v>534</v>
      </c>
      <c r="EY51" s="160">
        <v>1082</v>
      </c>
      <c r="EZ51" s="116">
        <v>9196</v>
      </c>
      <c r="FA51" s="116">
        <v>-14</v>
      </c>
      <c r="FB51" s="116">
        <v>13911</v>
      </c>
      <c r="FC51" s="160">
        <v>344</v>
      </c>
      <c r="FD51" s="116">
        <v>15852</v>
      </c>
      <c r="FE51" s="116">
        <v>-9041</v>
      </c>
      <c r="FF51" s="3">
        <v>69815</v>
      </c>
      <c r="FG51" s="3">
        <v>59576</v>
      </c>
      <c r="FH51" s="3">
        <v>10239</v>
      </c>
      <c r="FI51" s="3">
        <v>70</v>
      </c>
      <c r="FJ51" s="125">
        <v>73332</v>
      </c>
      <c r="FK51" s="160">
        <v>62039</v>
      </c>
      <c r="FL51" s="125">
        <v>11293</v>
      </c>
      <c r="FM51" s="116">
        <v>62</v>
      </c>
      <c r="FN51" s="125">
        <v>76981</v>
      </c>
      <c r="FO51" s="116">
        <v>65538</v>
      </c>
      <c r="FP51" s="116">
        <v>11443</v>
      </c>
      <c r="FQ51" s="116">
        <v>-600</v>
      </c>
      <c r="FR51" s="153">
        <v>22</v>
      </c>
      <c r="FS51" s="153">
        <v>39</v>
      </c>
      <c r="FT51" s="276">
        <v>19</v>
      </c>
      <c r="FU51" s="3">
        <v>7782</v>
      </c>
      <c r="FV51" s="159">
        <v>14672</v>
      </c>
      <c r="FW51" s="170"/>
      <c r="FZ51" s="155"/>
      <c r="GA51" s="2"/>
      <c r="GD51" s="163"/>
      <c r="GE51" s="2"/>
      <c r="GF51" s="2"/>
    </row>
    <row r="52" spans="1:188" ht="14.5" x14ac:dyDescent="0.35">
      <c r="A52" s="72">
        <v>167</v>
      </c>
      <c r="B52" s="70" t="s">
        <v>51</v>
      </c>
      <c r="C52" s="158">
        <v>76551</v>
      </c>
      <c r="D52" s="171"/>
      <c r="E52" s="128">
        <v>1.120301501525454</v>
      </c>
      <c r="F52" s="128">
        <v>76.487773209262059</v>
      </c>
      <c r="G52" s="129">
        <v>-5606.5106922182595</v>
      </c>
      <c r="H52" s="216"/>
      <c r="I52" s="172"/>
      <c r="J52" s="218"/>
      <c r="K52" s="128">
        <v>36.458605354258701</v>
      </c>
      <c r="L52" s="129">
        <v>1934.3052344188843</v>
      </c>
      <c r="M52" s="129">
        <v>60.015285137494061</v>
      </c>
      <c r="N52" s="129">
        <v>11764.026596647986</v>
      </c>
      <c r="O52" s="129"/>
      <c r="P52" s="117">
        <v>379627</v>
      </c>
      <c r="Q52" s="161">
        <v>750242</v>
      </c>
      <c r="R52" s="161">
        <v>-87</v>
      </c>
      <c r="S52" s="161">
        <v>-370702</v>
      </c>
      <c r="T52" s="124">
        <v>260636</v>
      </c>
      <c r="U52" s="124">
        <v>163791</v>
      </c>
      <c r="V52" s="136"/>
      <c r="X52" s="116">
        <v>-4105</v>
      </c>
      <c r="Y52" s="116">
        <v>2043</v>
      </c>
      <c r="Z52" s="161">
        <v>51663</v>
      </c>
      <c r="AA52" s="116">
        <v>61289</v>
      </c>
      <c r="AB52" s="117">
        <v>0</v>
      </c>
      <c r="AD52" s="161">
        <v>-9626</v>
      </c>
      <c r="AE52" s="117">
        <v>-265</v>
      </c>
      <c r="AF52" s="117">
        <v>-513</v>
      </c>
      <c r="AG52" s="116">
        <v>-620</v>
      </c>
      <c r="AH52" s="117">
        <v>-733</v>
      </c>
      <c r="AI52" s="160">
        <v>-11757</v>
      </c>
      <c r="AJ52" s="161">
        <v>61624</v>
      </c>
      <c r="AK52" s="161">
        <v>47890</v>
      </c>
      <c r="AL52" s="150"/>
      <c r="AM52" s="161">
        <v>4747</v>
      </c>
      <c r="AN52" s="161">
        <v>-45630</v>
      </c>
      <c r="AO52" s="160">
        <v>-42165</v>
      </c>
      <c r="AQ52" s="160"/>
      <c r="AR52" s="117"/>
      <c r="AS52" s="117"/>
      <c r="AT52" s="99">
        <v>20.5</v>
      </c>
      <c r="AU52" s="130"/>
      <c r="AV52" s="262">
        <v>80</v>
      </c>
      <c r="AW52" s="267">
        <v>76850</v>
      </c>
      <c r="AX52" s="124"/>
      <c r="AY52" s="255">
        <v>0.97219900008196047</v>
      </c>
      <c r="AZ52" s="259">
        <v>79.79082222805431</v>
      </c>
      <c r="BA52" s="160">
        <v>-6083.5914118412493</v>
      </c>
      <c r="BB52" s="130"/>
      <c r="BC52" s="130"/>
      <c r="BD52" s="130"/>
      <c r="BE52" s="128">
        <v>35.058164390557884</v>
      </c>
      <c r="BF52" s="160">
        <v>1906.6102797657775</v>
      </c>
      <c r="BG52" s="129">
        <v>58.111172875611793</v>
      </c>
      <c r="BH52" s="131">
        <v>12102.225113858165</v>
      </c>
      <c r="BI52" s="124"/>
      <c r="BJ52" s="117">
        <v>359679</v>
      </c>
      <c r="BK52" s="117">
        <v>768676</v>
      </c>
      <c r="BL52" s="161">
        <v>78</v>
      </c>
      <c r="BM52" s="161">
        <v>-408919</v>
      </c>
      <c r="BN52" s="117">
        <v>268565</v>
      </c>
      <c r="BO52" s="117">
        <v>194788</v>
      </c>
      <c r="BP52" s="136"/>
      <c r="BR52" s="160">
        <v>-4149</v>
      </c>
      <c r="BS52" s="160">
        <v>4428</v>
      </c>
      <c r="BT52" s="161">
        <v>54713</v>
      </c>
      <c r="BU52" s="125">
        <v>66092</v>
      </c>
      <c r="BV52" s="161">
        <v>0</v>
      </c>
      <c r="BX52" s="161">
        <v>-11379</v>
      </c>
      <c r="BY52" s="161">
        <v>105</v>
      </c>
      <c r="BZ52" s="161">
        <v>244</v>
      </c>
      <c r="CA52" s="161">
        <v>326</v>
      </c>
      <c r="CB52" s="161">
        <v>748</v>
      </c>
      <c r="CC52" s="160">
        <v>-10608</v>
      </c>
      <c r="CD52" s="160">
        <v>50015</v>
      </c>
      <c r="CE52" s="116">
        <v>50679</v>
      </c>
      <c r="CF52" s="150"/>
      <c r="CG52" s="161">
        <v>-4912</v>
      </c>
      <c r="CH52" s="160">
        <v>-56409</v>
      </c>
      <c r="CI52" s="159">
        <v>-40956</v>
      </c>
      <c r="CK52" s="124"/>
      <c r="CL52" s="161"/>
      <c r="CM52" s="124"/>
      <c r="CN52" s="265">
        <v>20.5</v>
      </c>
      <c r="CO52" s="130"/>
      <c r="CP52" s="116">
        <v>54</v>
      </c>
      <c r="CQ52" s="267">
        <v>76935</v>
      </c>
      <c r="CR52" s="124"/>
      <c r="CS52" s="268">
        <v>1.4318365726674505</v>
      </c>
      <c r="CT52" s="269">
        <v>77.771238536259318</v>
      </c>
      <c r="CU52" s="160">
        <v>-5913.4074218496135</v>
      </c>
      <c r="CV52" s="130"/>
      <c r="CW52" s="130"/>
      <c r="CX52" s="130"/>
      <c r="CY52" s="269">
        <v>35.967099823020767</v>
      </c>
      <c r="CZ52" s="125">
        <v>2007.4998375251835</v>
      </c>
      <c r="DA52" s="125">
        <v>61.923752477031165</v>
      </c>
      <c r="DB52" s="273">
        <v>11832.897900825372</v>
      </c>
      <c r="DC52" s="124"/>
      <c r="DD52" s="117">
        <v>352194</v>
      </c>
      <c r="DE52" s="117">
        <v>761458</v>
      </c>
      <c r="DF52" s="117">
        <v>-158</v>
      </c>
      <c r="DG52" s="117">
        <v>-409422</v>
      </c>
      <c r="DH52" s="117">
        <v>273994</v>
      </c>
      <c r="DI52" s="117">
        <v>225083</v>
      </c>
      <c r="DJ52" s="136"/>
      <c r="DL52" s="160">
        <v>-4080</v>
      </c>
      <c r="DM52" s="160">
        <v>3449</v>
      </c>
      <c r="DN52" s="161">
        <v>89024</v>
      </c>
      <c r="DO52" s="116">
        <v>71765</v>
      </c>
      <c r="DP52" s="161">
        <v>0</v>
      </c>
      <c r="DR52" s="161">
        <v>17259</v>
      </c>
      <c r="DS52" s="117">
        <v>-103</v>
      </c>
      <c r="DT52" s="117">
        <v>185</v>
      </c>
      <c r="DU52" s="117">
        <v>550</v>
      </c>
      <c r="DV52" s="117">
        <v>-148</v>
      </c>
      <c r="DW52" s="160">
        <v>16643</v>
      </c>
      <c r="DX52" s="160">
        <v>68132</v>
      </c>
      <c r="DY52" s="116">
        <v>83713</v>
      </c>
      <c r="DZ52" s="150"/>
      <c r="EA52" s="117">
        <v>-9992</v>
      </c>
      <c r="EB52" s="116">
        <v>-60740</v>
      </c>
      <c r="EC52" s="159">
        <v>8064</v>
      </c>
      <c r="EE52" s="125"/>
      <c r="EF52" s="161"/>
      <c r="EG52" s="124"/>
      <c r="EH52" s="253">
        <v>20.5</v>
      </c>
      <c r="EI52" s="130"/>
      <c r="EJ52" s="125">
        <v>91</v>
      </c>
      <c r="EK52" s="116"/>
      <c r="EL52" s="159"/>
      <c r="EN52" s="116"/>
      <c r="EO52" s="116"/>
      <c r="EP52" s="159"/>
      <c r="EQ52" s="159">
        <v>-98703</v>
      </c>
      <c r="ER52" s="116">
        <v>2494</v>
      </c>
      <c r="ES52" s="116">
        <v>6154</v>
      </c>
      <c r="ET52" s="160">
        <v>-99924</v>
      </c>
      <c r="EU52" s="116">
        <v>1461</v>
      </c>
      <c r="EV52" s="116">
        <v>6828</v>
      </c>
      <c r="EW52" s="160">
        <v>-82471</v>
      </c>
      <c r="EX52" s="160">
        <v>1575</v>
      </c>
      <c r="EY52" s="160">
        <v>5247</v>
      </c>
      <c r="EZ52" s="116">
        <v>99197</v>
      </c>
      <c r="FA52" s="116">
        <v>-32559</v>
      </c>
      <c r="FB52" s="116">
        <v>101491</v>
      </c>
      <c r="FC52" s="160">
        <v>-760</v>
      </c>
      <c r="FD52" s="116">
        <v>57949</v>
      </c>
      <c r="FE52" s="116">
        <v>-809</v>
      </c>
      <c r="FF52" s="3">
        <v>507042</v>
      </c>
      <c r="FG52" s="3">
        <v>447082</v>
      </c>
      <c r="FH52" s="3">
        <v>59960</v>
      </c>
      <c r="FI52" s="3">
        <v>3352</v>
      </c>
      <c r="FJ52" s="125">
        <v>551390</v>
      </c>
      <c r="FK52" s="160">
        <v>487761</v>
      </c>
      <c r="FL52" s="125">
        <v>63629</v>
      </c>
      <c r="FM52" s="116">
        <v>2980</v>
      </c>
      <c r="FN52" s="125">
        <v>548153</v>
      </c>
      <c r="FO52" s="116">
        <v>484098</v>
      </c>
      <c r="FP52" s="116">
        <v>64055</v>
      </c>
      <c r="FQ52" s="116">
        <v>-9992</v>
      </c>
      <c r="FR52" s="153">
        <v>2313</v>
      </c>
      <c r="FS52" s="153">
        <v>14021</v>
      </c>
      <c r="FT52" s="276">
        <v>2232</v>
      </c>
      <c r="FU52" s="3">
        <v>115002</v>
      </c>
      <c r="FV52" s="159">
        <v>139587</v>
      </c>
      <c r="FW52" s="170"/>
      <c r="FZ52" s="155"/>
      <c r="GA52" s="2"/>
      <c r="GD52" s="163"/>
      <c r="GE52" s="2"/>
      <c r="GF52" s="2"/>
    </row>
    <row r="53" spans="1:188" ht="14.5" x14ac:dyDescent="0.35">
      <c r="A53" s="72">
        <v>169</v>
      </c>
      <c r="B53" s="70" t="s">
        <v>52</v>
      </c>
      <c r="C53" s="158">
        <v>5195</v>
      </c>
      <c r="D53" s="171"/>
      <c r="E53" s="128">
        <v>1.1714285714285715</v>
      </c>
      <c r="F53" s="128">
        <v>43.484298783133994</v>
      </c>
      <c r="G53" s="129">
        <v>-3829.8363811357071</v>
      </c>
      <c r="H53" s="216"/>
      <c r="I53" s="172"/>
      <c r="J53" s="218"/>
      <c r="K53" s="128">
        <v>42.468729427254772</v>
      </c>
      <c r="L53" s="129">
        <v>181.71318575553417</v>
      </c>
      <c r="M53" s="129">
        <v>5.9116410740327705</v>
      </c>
      <c r="N53" s="129">
        <v>11219.44177093359</v>
      </c>
      <c r="O53" s="129"/>
      <c r="P53" s="117">
        <v>27694</v>
      </c>
      <c r="Q53" s="161">
        <v>55287</v>
      </c>
      <c r="R53" s="161">
        <v>-14</v>
      </c>
      <c r="S53" s="161">
        <v>-27607</v>
      </c>
      <c r="T53" s="124">
        <v>18793</v>
      </c>
      <c r="U53" s="124">
        <v>11120</v>
      </c>
      <c r="V53" s="136"/>
      <c r="X53" s="116">
        <v>-179</v>
      </c>
      <c r="Y53" s="116">
        <v>30</v>
      </c>
      <c r="Z53" s="161">
        <v>2157</v>
      </c>
      <c r="AA53" s="116">
        <v>2974</v>
      </c>
      <c r="AB53" s="116">
        <v>7</v>
      </c>
      <c r="AD53" s="161">
        <v>-810</v>
      </c>
      <c r="AE53" s="116">
        <v>-1</v>
      </c>
      <c r="AF53" s="116">
        <v>0</v>
      </c>
      <c r="AG53" s="116">
        <v>-1</v>
      </c>
      <c r="AH53" s="116">
        <v>0</v>
      </c>
      <c r="AI53" s="160">
        <v>-812</v>
      </c>
      <c r="AJ53" s="161">
        <v>6092</v>
      </c>
      <c r="AK53" s="161">
        <v>2086</v>
      </c>
      <c r="AL53" s="150"/>
      <c r="AM53" s="161">
        <v>422</v>
      </c>
      <c r="AN53" s="161">
        <v>-1815</v>
      </c>
      <c r="AO53" s="160">
        <v>1492</v>
      </c>
      <c r="AQ53" s="160"/>
      <c r="AR53" s="117"/>
      <c r="AS53" s="117"/>
      <c r="AT53" s="99">
        <v>21.25</v>
      </c>
      <c r="AU53" s="130"/>
      <c r="AV53" s="262">
        <v>175</v>
      </c>
      <c r="AW53" s="267">
        <v>5133</v>
      </c>
      <c r="AX53" s="124"/>
      <c r="AY53" s="255">
        <v>0.8175228490387646</v>
      </c>
      <c r="AZ53" s="259">
        <v>45.306395601215456</v>
      </c>
      <c r="BA53" s="160">
        <v>-3599.2596921878044</v>
      </c>
      <c r="BB53" s="130"/>
      <c r="BC53" s="130"/>
      <c r="BD53" s="130"/>
      <c r="BE53" s="128">
        <v>43.648875242263891</v>
      </c>
      <c r="BF53" s="160">
        <v>251.704656146503</v>
      </c>
      <c r="BG53" s="129">
        <v>5.9955802258608992</v>
      </c>
      <c r="BH53" s="131">
        <v>11195.98675238652</v>
      </c>
      <c r="BI53" s="124"/>
      <c r="BJ53" s="117">
        <v>25120</v>
      </c>
      <c r="BK53" s="117">
        <v>52729</v>
      </c>
      <c r="BL53" s="161">
        <v>-3</v>
      </c>
      <c r="BM53" s="161">
        <v>-27612</v>
      </c>
      <c r="BN53" s="117">
        <v>19094</v>
      </c>
      <c r="BO53" s="117">
        <v>11074</v>
      </c>
      <c r="BP53" s="136"/>
      <c r="BR53" s="160">
        <v>-182</v>
      </c>
      <c r="BS53" s="160">
        <v>38</v>
      </c>
      <c r="BT53" s="161">
        <v>2412</v>
      </c>
      <c r="BU53" s="125">
        <v>2395</v>
      </c>
      <c r="BV53" s="160">
        <v>-33</v>
      </c>
      <c r="BX53" s="161">
        <v>-16</v>
      </c>
      <c r="BY53" s="160">
        <v>1</v>
      </c>
      <c r="BZ53" s="160">
        <v>1</v>
      </c>
      <c r="CA53" s="160">
        <v>1</v>
      </c>
      <c r="CB53" s="160">
        <v>0</v>
      </c>
      <c r="CC53" s="160">
        <v>-15</v>
      </c>
      <c r="CD53" s="160">
        <v>6528</v>
      </c>
      <c r="CE53" s="116">
        <v>2234</v>
      </c>
      <c r="CF53" s="150"/>
      <c r="CG53" s="161">
        <v>-965</v>
      </c>
      <c r="CH53" s="160">
        <v>-2991</v>
      </c>
      <c r="CI53" s="159">
        <v>816</v>
      </c>
      <c r="CK53" s="124"/>
      <c r="CL53" s="161"/>
      <c r="CM53" s="124"/>
      <c r="CN53" s="265">
        <v>21.25</v>
      </c>
      <c r="CO53" s="130"/>
      <c r="CP53" s="116">
        <v>130</v>
      </c>
      <c r="CQ53" s="267">
        <v>5061</v>
      </c>
      <c r="CR53" s="124"/>
      <c r="CS53" s="268">
        <v>2.3533943187289359</v>
      </c>
      <c r="CT53" s="269">
        <v>36.82060572913106</v>
      </c>
      <c r="CU53" s="160">
        <v>-3015.2143845089904</v>
      </c>
      <c r="CV53" s="130"/>
      <c r="CW53" s="130"/>
      <c r="CX53" s="130"/>
      <c r="CY53" s="269">
        <v>50.06912853447507</v>
      </c>
      <c r="CZ53" s="125">
        <v>207.07370084963446</v>
      </c>
      <c r="DA53" s="125">
        <v>6.6681774601237684</v>
      </c>
      <c r="DB53" s="273">
        <v>11334.716459197787</v>
      </c>
      <c r="DC53" s="124"/>
      <c r="DD53" s="117">
        <v>25227</v>
      </c>
      <c r="DE53" s="117">
        <v>53692</v>
      </c>
      <c r="DF53" s="117">
        <v>-3</v>
      </c>
      <c r="DG53" s="117">
        <v>-28468</v>
      </c>
      <c r="DH53" s="117">
        <v>20308</v>
      </c>
      <c r="DI53" s="117">
        <v>12973</v>
      </c>
      <c r="DJ53" s="136"/>
      <c r="DL53" s="160">
        <v>-156</v>
      </c>
      <c r="DM53" s="160">
        <v>67</v>
      </c>
      <c r="DN53" s="161">
        <v>4724</v>
      </c>
      <c r="DO53" s="116">
        <v>2329</v>
      </c>
      <c r="DP53" s="160">
        <v>24</v>
      </c>
      <c r="DR53" s="161">
        <v>2419</v>
      </c>
      <c r="DS53" s="116">
        <v>-14</v>
      </c>
      <c r="DT53" s="116">
        <v>0</v>
      </c>
      <c r="DU53" s="116">
        <v>1</v>
      </c>
      <c r="DV53" s="116">
        <v>0</v>
      </c>
      <c r="DW53" s="160">
        <v>2404</v>
      </c>
      <c r="DX53" s="160">
        <v>8925</v>
      </c>
      <c r="DY53" s="116">
        <v>4599</v>
      </c>
      <c r="DZ53" s="150"/>
      <c r="EA53" s="117">
        <v>223</v>
      </c>
      <c r="EB53" s="116">
        <v>-1913</v>
      </c>
      <c r="EC53" s="159">
        <v>3192</v>
      </c>
      <c r="EE53" s="125"/>
      <c r="EF53" s="161"/>
      <c r="EG53" s="124"/>
      <c r="EH53" s="253">
        <v>21.25</v>
      </c>
      <c r="EI53" s="130"/>
      <c r="EJ53" s="125">
        <v>166</v>
      </c>
      <c r="EK53" s="116"/>
      <c r="EL53" s="159"/>
      <c r="EN53" s="116"/>
      <c r="EO53" s="116"/>
      <c r="EP53" s="159"/>
      <c r="EQ53" s="159">
        <v>-955</v>
      </c>
      <c r="ER53" s="116">
        <v>28</v>
      </c>
      <c r="ES53" s="116">
        <v>333</v>
      </c>
      <c r="ET53" s="160">
        <v>-1517</v>
      </c>
      <c r="EU53" s="116">
        <v>53</v>
      </c>
      <c r="EV53" s="116">
        <v>46</v>
      </c>
      <c r="EW53" s="160">
        <v>-1554</v>
      </c>
      <c r="EX53" s="160">
        <v>30</v>
      </c>
      <c r="EY53" s="160">
        <v>117</v>
      </c>
      <c r="EZ53" s="116">
        <v>93</v>
      </c>
      <c r="FA53" s="116">
        <v>-600</v>
      </c>
      <c r="FB53" s="116">
        <v>2312</v>
      </c>
      <c r="FC53" s="160">
        <v>1343</v>
      </c>
      <c r="FD53" s="116">
        <v>1148</v>
      </c>
      <c r="FE53" s="116">
        <v>-3100</v>
      </c>
      <c r="FF53" s="3">
        <v>18755</v>
      </c>
      <c r="FG53" s="3">
        <v>12345</v>
      </c>
      <c r="FH53" s="3">
        <v>6410</v>
      </c>
      <c r="FI53" s="3">
        <v>8</v>
      </c>
      <c r="FJ53" s="125">
        <v>19217</v>
      </c>
      <c r="FK53" s="160">
        <v>11740</v>
      </c>
      <c r="FL53" s="125">
        <v>7477</v>
      </c>
      <c r="FM53" s="116">
        <v>7</v>
      </c>
      <c r="FN53" s="125">
        <v>15079</v>
      </c>
      <c r="FO53" s="116">
        <v>10749</v>
      </c>
      <c r="FP53" s="116">
        <v>4330</v>
      </c>
      <c r="FQ53" s="116">
        <v>223</v>
      </c>
      <c r="FR53" s="153">
        <v>1720</v>
      </c>
      <c r="FS53" s="153">
        <v>1619</v>
      </c>
      <c r="FT53" s="276">
        <v>1514</v>
      </c>
      <c r="FU53" s="3">
        <v>426</v>
      </c>
      <c r="FV53" s="159">
        <v>436</v>
      </c>
      <c r="FW53" s="170"/>
      <c r="FZ53" s="155"/>
      <c r="GA53" s="2"/>
      <c r="GD53" s="163"/>
      <c r="GE53" s="2"/>
      <c r="GF53" s="2"/>
    </row>
    <row r="54" spans="1:188" ht="14.5" x14ac:dyDescent="0.35">
      <c r="A54" s="72">
        <v>171</v>
      </c>
      <c r="B54" s="70" t="s">
        <v>53</v>
      </c>
      <c r="C54" s="158">
        <v>4812</v>
      </c>
      <c r="D54" s="171"/>
      <c r="E54" s="128">
        <v>-4.2538107054236086E-2</v>
      </c>
      <c r="F54" s="128">
        <v>70.544174375491551</v>
      </c>
      <c r="G54" s="129">
        <v>-4043.8487115544472</v>
      </c>
      <c r="H54" s="216"/>
      <c r="I54" s="172"/>
      <c r="J54" s="218"/>
      <c r="K54" s="128">
        <v>26.417257389609645</v>
      </c>
      <c r="L54" s="129">
        <v>2981.2967581047378</v>
      </c>
      <c r="M54" s="129">
        <v>81.972009580613346</v>
      </c>
      <c r="N54" s="129">
        <v>13274.937655860349</v>
      </c>
      <c r="O54" s="129"/>
      <c r="P54" s="117">
        <v>25026</v>
      </c>
      <c r="Q54" s="161">
        <v>53568</v>
      </c>
      <c r="R54" s="161">
        <v>6</v>
      </c>
      <c r="S54" s="161">
        <v>-28536</v>
      </c>
      <c r="T54" s="124">
        <v>16171</v>
      </c>
      <c r="U54" s="124">
        <v>12205</v>
      </c>
      <c r="V54" s="136"/>
      <c r="X54" s="116">
        <v>-52</v>
      </c>
      <c r="Y54" s="116">
        <v>-122</v>
      </c>
      <c r="Z54" s="161">
        <v>-334</v>
      </c>
      <c r="AA54" s="116">
        <v>1468</v>
      </c>
      <c r="AB54" s="116">
        <v>0</v>
      </c>
      <c r="AD54" s="161">
        <v>-1802</v>
      </c>
      <c r="AE54" s="117">
        <v>-2</v>
      </c>
      <c r="AF54" s="117">
        <v>-4</v>
      </c>
      <c r="AG54" s="116">
        <v>0</v>
      </c>
      <c r="AH54" s="116">
        <v>0</v>
      </c>
      <c r="AI54" s="160">
        <v>-1808</v>
      </c>
      <c r="AJ54" s="161">
        <v>-1304</v>
      </c>
      <c r="AK54" s="161">
        <v>-323</v>
      </c>
      <c r="AL54" s="150"/>
      <c r="AM54" s="161">
        <v>-479</v>
      </c>
      <c r="AN54" s="161">
        <v>-2607</v>
      </c>
      <c r="AO54" s="160">
        <v>-7643</v>
      </c>
      <c r="AQ54" s="160"/>
      <c r="AR54" s="117"/>
      <c r="AS54" s="117"/>
      <c r="AT54" s="99">
        <v>20.75</v>
      </c>
      <c r="AU54" s="130"/>
      <c r="AV54" s="262">
        <v>287</v>
      </c>
      <c r="AW54" s="267">
        <v>4767</v>
      </c>
      <c r="AX54" s="124"/>
      <c r="AY54" s="255">
        <v>0.43003310261811617</v>
      </c>
      <c r="AZ54" s="259">
        <v>74.222060561971446</v>
      </c>
      <c r="BA54" s="160">
        <v>-5321.7956786238728</v>
      </c>
      <c r="BB54" s="130"/>
      <c r="BC54" s="130"/>
      <c r="BD54" s="130"/>
      <c r="BE54" s="128">
        <v>24.439996360658721</v>
      </c>
      <c r="BF54" s="160">
        <v>2543.7382001258657</v>
      </c>
      <c r="BG54" s="129">
        <v>81.12870489441147</v>
      </c>
      <c r="BH54" s="131">
        <v>13539.542689322427</v>
      </c>
      <c r="BI54" s="124"/>
      <c r="BJ54" s="117">
        <v>25692</v>
      </c>
      <c r="BK54" s="117">
        <v>53934</v>
      </c>
      <c r="BL54" s="161">
        <v>19</v>
      </c>
      <c r="BM54" s="161">
        <v>-28223</v>
      </c>
      <c r="BN54" s="117">
        <v>16940</v>
      </c>
      <c r="BO54" s="117">
        <v>12353</v>
      </c>
      <c r="BP54" s="136"/>
      <c r="BR54" s="160">
        <v>-93</v>
      </c>
      <c r="BS54" s="160">
        <v>213</v>
      </c>
      <c r="BT54" s="161">
        <v>1190</v>
      </c>
      <c r="BU54" s="125">
        <v>1611</v>
      </c>
      <c r="BV54" s="160">
        <v>0</v>
      </c>
      <c r="BW54" s="117"/>
      <c r="BX54" s="161">
        <v>-421</v>
      </c>
      <c r="BY54" s="161">
        <v>0</v>
      </c>
      <c r="BZ54" s="161">
        <v>5</v>
      </c>
      <c r="CA54" s="160">
        <v>0</v>
      </c>
      <c r="CB54" s="160">
        <v>0</v>
      </c>
      <c r="CC54" s="160">
        <v>-416</v>
      </c>
      <c r="CD54" s="160">
        <v>-1766</v>
      </c>
      <c r="CE54" s="116">
        <v>1201</v>
      </c>
      <c r="CF54" s="150"/>
      <c r="CG54" s="160">
        <v>866</v>
      </c>
      <c r="CH54" s="160">
        <v>-3084</v>
      </c>
      <c r="CI54" s="159">
        <v>-5833</v>
      </c>
      <c r="CK54" s="124"/>
      <c r="CL54" s="161"/>
      <c r="CM54" s="124"/>
      <c r="CN54" s="265">
        <v>21.25</v>
      </c>
      <c r="CO54" s="130"/>
      <c r="CP54" s="116">
        <v>228</v>
      </c>
      <c r="CQ54" s="267">
        <v>4689</v>
      </c>
      <c r="CR54" s="124"/>
      <c r="CS54" s="268">
        <v>1.0967246673490276</v>
      </c>
      <c r="CT54" s="269">
        <v>71.701927194860815</v>
      </c>
      <c r="CU54" s="160">
        <v>-4888.6756238003836</v>
      </c>
      <c r="CV54" s="130"/>
      <c r="CW54" s="130"/>
      <c r="CX54" s="130"/>
      <c r="CY54" s="269">
        <v>26.692761983244061</v>
      </c>
      <c r="CZ54" s="125">
        <v>3346.5557688206441</v>
      </c>
      <c r="DA54" s="125">
        <v>95.194708062559201</v>
      </c>
      <c r="DB54" s="273">
        <v>12831.52058008104</v>
      </c>
      <c r="DC54" s="124"/>
      <c r="DD54" s="117">
        <v>26796</v>
      </c>
      <c r="DE54" s="117">
        <v>54259</v>
      </c>
      <c r="DF54" s="117">
        <v>5</v>
      </c>
      <c r="DG54" s="117">
        <v>-27458</v>
      </c>
      <c r="DH54" s="117">
        <v>17727</v>
      </c>
      <c r="DI54" s="117">
        <v>13852</v>
      </c>
      <c r="DJ54" s="136"/>
      <c r="DL54" s="160">
        <v>-114</v>
      </c>
      <c r="DM54" s="160">
        <v>68</v>
      </c>
      <c r="DN54" s="161">
        <v>4075</v>
      </c>
      <c r="DO54" s="116">
        <v>1917</v>
      </c>
      <c r="DP54" s="160">
        <v>0</v>
      </c>
      <c r="DQ54" s="117"/>
      <c r="DR54" s="161">
        <v>2158</v>
      </c>
      <c r="DS54" s="117">
        <v>0</v>
      </c>
      <c r="DT54" s="117">
        <v>0</v>
      </c>
      <c r="DU54" s="116">
        <v>0</v>
      </c>
      <c r="DV54" s="116">
        <v>0</v>
      </c>
      <c r="DW54" s="160">
        <v>2158</v>
      </c>
      <c r="DX54" s="160">
        <v>348</v>
      </c>
      <c r="DY54" s="116">
        <v>3982</v>
      </c>
      <c r="DZ54" s="150"/>
      <c r="EA54" s="116">
        <v>367</v>
      </c>
      <c r="EB54" s="116">
        <v>-3697</v>
      </c>
      <c r="EC54" s="159">
        <v>2463</v>
      </c>
      <c r="EE54" s="125"/>
      <c r="EF54" s="161"/>
      <c r="EG54" s="124"/>
      <c r="EH54" s="253">
        <v>21.25</v>
      </c>
      <c r="EI54" s="130"/>
      <c r="EJ54" s="125">
        <v>202</v>
      </c>
      <c r="EK54" s="116"/>
      <c r="EL54" s="159"/>
      <c r="EN54" s="116"/>
      <c r="EO54" s="116"/>
      <c r="EP54" s="159"/>
      <c r="EQ54" s="159">
        <v>-7290</v>
      </c>
      <c r="ER54" s="116">
        <v>59</v>
      </c>
      <c r="ES54" s="116">
        <v>-89</v>
      </c>
      <c r="ET54" s="160">
        <v>-7177</v>
      </c>
      <c r="EU54" s="116">
        <v>123</v>
      </c>
      <c r="EV54" s="116">
        <v>20</v>
      </c>
      <c r="EW54" s="160">
        <v>-1863</v>
      </c>
      <c r="EX54" s="160">
        <v>56</v>
      </c>
      <c r="EY54" s="160">
        <v>288</v>
      </c>
      <c r="EZ54" s="116">
        <v>6298</v>
      </c>
      <c r="FA54" s="116">
        <v>-642</v>
      </c>
      <c r="FB54" s="116">
        <v>6245</v>
      </c>
      <c r="FC54" s="160">
        <v>-247</v>
      </c>
      <c r="FD54" s="116">
        <v>3845</v>
      </c>
      <c r="FE54" s="116">
        <v>-667</v>
      </c>
      <c r="FF54" s="3">
        <v>31179</v>
      </c>
      <c r="FG54" s="3">
        <v>27007</v>
      </c>
      <c r="FH54" s="3">
        <v>4172</v>
      </c>
      <c r="FI54" s="3">
        <v>159</v>
      </c>
      <c r="FJ54" s="125">
        <v>34394</v>
      </c>
      <c r="FK54" s="160">
        <v>29895</v>
      </c>
      <c r="FL54" s="125">
        <v>4499</v>
      </c>
      <c r="FM54" s="116">
        <v>161</v>
      </c>
      <c r="FN54" s="125">
        <v>34177</v>
      </c>
      <c r="FO54" s="116">
        <v>30079</v>
      </c>
      <c r="FP54" s="116">
        <v>4098</v>
      </c>
      <c r="FQ54" s="116">
        <v>367</v>
      </c>
      <c r="FR54" s="153">
        <v>701</v>
      </c>
      <c r="FS54" s="153">
        <v>578</v>
      </c>
      <c r="FT54" s="276">
        <v>549</v>
      </c>
      <c r="FU54" s="3">
        <v>1344</v>
      </c>
      <c r="FV54" s="159">
        <v>1491</v>
      </c>
      <c r="FW54" s="170"/>
      <c r="FZ54" s="155"/>
      <c r="GA54" s="2"/>
      <c r="GD54" s="163"/>
      <c r="GE54" s="2"/>
      <c r="GF54" s="2"/>
    </row>
    <row r="55" spans="1:188" ht="14.5" x14ac:dyDescent="0.35">
      <c r="A55" s="72">
        <v>172</v>
      </c>
      <c r="B55" s="70" t="s">
        <v>54</v>
      </c>
      <c r="C55" s="158">
        <v>4467</v>
      </c>
      <c r="D55" s="171"/>
      <c r="E55" s="128">
        <v>0.98424421467257506</v>
      </c>
      <c r="F55" s="128">
        <v>70.059168945268723</v>
      </c>
      <c r="G55" s="129">
        <v>-5397.5822699798528</v>
      </c>
      <c r="H55" s="216"/>
      <c r="I55" s="172"/>
      <c r="J55" s="218"/>
      <c r="K55" s="128">
        <v>24.621067950296652</v>
      </c>
      <c r="L55" s="129">
        <v>792.47817327065138</v>
      </c>
      <c r="M55" s="129">
        <v>26.636294295903856</v>
      </c>
      <c r="N55" s="129">
        <v>10859.413476606223</v>
      </c>
      <c r="O55" s="129"/>
      <c r="P55" s="117">
        <v>13567</v>
      </c>
      <c r="Q55" s="161">
        <v>42727</v>
      </c>
      <c r="R55" s="161">
        <v>-21</v>
      </c>
      <c r="S55" s="161">
        <v>-29181</v>
      </c>
      <c r="T55" s="124">
        <v>14830</v>
      </c>
      <c r="U55" s="124">
        <v>16221</v>
      </c>
      <c r="V55" s="136"/>
      <c r="X55" s="116">
        <v>-157</v>
      </c>
      <c r="Y55" s="116">
        <v>125</v>
      </c>
      <c r="Z55" s="161">
        <v>1838</v>
      </c>
      <c r="AA55" s="116">
        <v>2251</v>
      </c>
      <c r="AB55" s="117">
        <v>100</v>
      </c>
      <c r="AD55" s="161">
        <v>-313</v>
      </c>
      <c r="AE55" s="117">
        <v>20</v>
      </c>
      <c r="AF55" s="117">
        <v>0</v>
      </c>
      <c r="AG55" s="116">
        <v>2</v>
      </c>
      <c r="AH55" s="117">
        <v>3</v>
      </c>
      <c r="AI55" s="160">
        <v>-288</v>
      </c>
      <c r="AJ55" s="161">
        <v>2276</v>
      </c>
      <c r="AK55" s="161">
        <v>2072</v>
      </c>
      <c r="AL55" s="150"/>
      <c r="AM55" s="161">
        <v>14</v>
      </c>
      <c r="AN55" s="161">
        <v>-1870</v>
      </c>
      <c r="AO55" s="160">
        <v>-1597</v>
      </c>
      <c r="AQ55" s="160"/>
      <c r="AR55" s="117"/>
      <c r="AS55" s="117"/>
      <c r="AT55" s="99">
        <v>21</v>
      </c>
      <c r="AU55" s="130"/>
      <c r="AV55" s="262">
        <v>179</v>
      </c>
      <c r="AW55" s="267">
        <v>4377</v>
      </c>
      <c r="AX55" s="124"/>
      <c r="AY55" s="255">
        <v>0.68787459658828953</v>
      </c>
      <c r="AZ55" s="259">
        <v>72.450026771372478</v>
      </c>
      <c r="BA55" s="160">
        <v>-6246.5158784555633</v>
      </c>
      <c r="BB55" s="130"/>
      <c r="BC55" s="130"/>
      <c r="BD55" s="130"/>
      <c r="BE55" s="128">
        <v>24.078749224909203</v>
      </c>
      <c r="BF55" s="160">
        <v>654.32944939456252</v>
      </c>
      <c r="BG55" s="129">
        <v>25.43904551897937</v>
      </c>
      <c r="BH55" s="131">
        <v>11604.295179346584</v>
      </c>
      <c r="BI55" s="124"/>
      <c r="BJ55" s="117">
        <v>13110</v>
      </c>
      <c r="BK55" s="117">
        <v>43624</v>
      </c>
      <c r="BL55" s="161">
        <v>109</v>
      </c>
      <c r="BM55" s="161">
        <v>-30405</v>
      </c>
      <c r="BN55" s="117">
        <v>15502</v>
      </c>
      <c r="BO55" s="117">
        <v>16212</v>
      </c>
      <c r="BP55" s="136"/>
      <c r="BR55" s="160">
        <v>-146</v>
      </c>
      <c r="BS55" s="160">
        <v>179</v>
      </c>
      <c r="BT55" s="161">
        <v>1342</v>
      </c>
      <c r="BU55" s="125">
        <v>2166</v>
      </c>
      <c r="BV55" s="161">
        <v>0</v>
      </c>
      <c r="BW55" s="117"/>
      <c r="BX55" s="161">
        <v>-824</v>
      </c>
      <c r="BY55" s="161">
        <v>40</v>
      </c>
      <c r="BZ55" s="160">
        <v>0</v>
      </c>
      <c r="CA55" s="161">
        <v>3</v>
      </c>
      <c r="CB55" s="161">
        <v>4</v>
      </c>
      <c r="CC55" s="160">
        <v>-783</v>
      </c>
      <c r="CD55" s="160">
        <v>1506</v>
      </c>
      <c r="CE55" s="116">
        <v>1266</v>
      </c>
      <c r="CF55" s="150"/>
      <c r="CG55" s="161">
        <v>1330</v>
      </c>
      <c r="CH55" s="160">
        <v>-2019</v>
      </c>
      <c r="CI55" s="159">
        <v>-3363</v>
      </c>
      <c r="CK55" s="124"/>
      <c r="CL55" s="161"/>
      <c r="CM55" s="124"/>
      <c r="CN55" s="265">
        <v>21</v>
      </c>
      <c r="CO55" s="130"/>
      <c r="CP55" s="116">
        <v>208</v>
      </c>
      <c r="CQ55" s="267">
        <v>4297</v>
      </c>
      <c r="CR55" s="124"/>
      <c r="CS55" s="268">
        <v>0.80162767039674465</v>
      </c>
      <c r="CT55" s="269">
        <v>81.467265669298214</v>
      </c>
      <c r="CU55" s="160">
        <v>-7427.5075634163368</v>
      </c>
      <c r="CV55" s="130"/>
      <c r="CW55" s="130"/>
      <c r="CX55" s="130"/>
      <c r="CY55" s="269">
        <v>20.518157751146859</v>
      </c>
      <c r="CZ55" s="125">
        <v>791.24970909937167</v>
      </c>
      <c r="DA55" s="125">
        <v>23.498447322578201</v>
      </c>
      <c r="DB55" s="273">
        <v>12290.435187340005</v>
      </c>
      <c r="DC55" s="124"/>
      <c r="DD55" s="117">
        <v>13260</v>
      </c>
      <c r="DE55" s="117">
        <v>44512</v>
      </c>
      <c r="DF55" s="117">
        <v>18</v>
      </c>
      <c r="DG55" s="117">
        <v>-31234</v>
      </c>
      <c r="DH55" s="117">
        <v>15000</v>
      </c>
      <c r="DI55" s="117">
        <v>17594</v>
      </c>
      <c r="DJ55" s="136"/>
      <c r="DL55" s="160">
        <v>-116</v>
      </c>
      <c r="DM55" s="160">
        <v>188</v>
      </c>
      <c r="DN55" s="161">
        <v>1432</v>
      </c>
      <c r="DO55" s="116">
        <v>2078</v>
      </c>
      <c r="DP55" s="161">
        <v>-70</v>
      </c>
      <c r="DQ55" s="117"/>
      <c r="DR55" s="161">
        <v>-716</v>
      </c>
      <c r="DS55" s="117">
        <v>19</v>
      </c>
      <c r="DT55" s="116">
        <v>-1</v>
      </c>
      <c r="DU55" s="117">
        <v>9</v>
      </c>
      <c r="DV55" s="117">
        <v>5</v>
      </c>
      <c r="DW55" s="160">
        <v>-702</v>
      </c>
      <c r="DX55" s="160">
        <v>566</v>
      </c>
      <c r="DY55" s="116">
        <v>1317</v>
      </c>
      <c r="DZ55" s="150"/>
      <c r="EA55" s="117">
        <v>230</v>
      </c>
      <c r="EB55" s="116">
        <v>-1822</v>
      </c>
      <c r="EC55" s="159">
        <v>-4781</v>
      </c>
      <c r="EE55" s="125"/>
      <c r="EF55" s="161"/>
      <c r="EG55" s="124"/>
      <c r="EH55" s="253">
        <v>21</v>
      </c>
      <c r="EI55" s="130"/>
      <c r="EJ55" s="125">
        <v>290</v>
      </c>
      <c r="EK55" s="116"/>
      <c r="EL55" s="159"/>
      <c r="EN55" s="116"/>
      <c r="EO55" s="116"/>
      <c r="EP55" s="159"/>
      <c r="EQ55" s="159">
        <v>-3723</v>
      </c>
      <c r="ER55" s="116">
        <v>2</v>
      </c>
      <c r="ES55" s="116">
        <v>52</v>
      </c>
      <c r="ET55" s="160">
        <v>-4980</v>
      </c>
      <c r="EU55" s="116">
        <v>55</v>
      </c>
      <c r="EV55" s="116">
        <v>296</v>
      </c>
      <c r="EW55" s="160">
        <v>-6314</v>
      </c>
      <c r="EX55" s="160">
        <v>0</v>
      </c>
      <c r="EY55" s="160">
        <v>216</v>
      </c>
      <c r="EZ55" s="116">
        <v>1896</v>
      </c>
      <c r="FA55" s="116">
        <v>-461</v>
      </c>
      <c r="FB55" s="116">
        <v>2762</v>
      </c>
      <c r="FC55" s="160">
        <v>2301</v>
      </c>
      <c r="FD55" s="116">
        <v>1330</v>
      </c>
      <c r="FE55" s="116">
        <v>5614</v>
      </c>
      <c r="FF55" s="3">
        <v>23137</v>
      </c>
      <c r="FG55" s="3">
        <v>18097</v>
      </c>
      <c r="FH55" s="3">
        <v>5040</v>
      </c>
      <c r="FI55" s="3">
        <v>70</v>
      </c>
      <c r="FJ55" s="125">
        <v>26163</v>
      </c>
      <c r="FK55" s="160">
        <v>18800</v>
      </c>
      <c r="FL55" s="125">
        <v>7363</v>
      </c>
      <c r="FM55" s="116">
        <v>70</v>
      </c>
      <c r="FN55" s="125">
        <v>31289</v>
      </c>
      <c r="FO55" s="116">
        <v>17368</v>
      </c>
      <c r="FP55" s="116">
        <v>13921</v>
      </c>
      <c r="FQ55" s="116">
        <v>230</v>
      </c>
      <c r="FR55" s="153">
        <v>574</v>
      </c>
      <c r="FS55" s="153">
        <v>472</v>
      </c>
      <c r="FT55" s="276">
        <v>399</v>
      </c>
      <c r="FU55" s="3">
        <v>198</v>
      </c>
      <c r="FV55" s="159">
        <v>228</v>
      </c>
      <c r="FW55" s="170"/>
      <c r="FZ55" s="155"/>
      <c r="GA55" s="2"/>
      <c r="GD55" s="163"/>
      <c r="GE55" s="2"/>
      <c r="GF55" s="2"/>
    </row>
    <row r="56" spans="1:188" ht="14.5" x14ac:dyDescent="0.35">
      <c r="A56" s="72">
        <v>176</v>
      </c>
      <c r="B56" s="70" t="s">
        <v>55</v>
      </c>
      <c r="C56" s="158">
        <v>4709</v>
      </c>
      <c r="D56" s="171"/>
      <c r="E56" s="128">
        <v>1.7686435701702878</v>
      </c>
      <c r="F56" s="128">
        <v>27.148884696801694</v>
      </c>
      <c r="G56" s="129">
        <v>-1254.6188150350392</v>
      </c>
      <c r="H56" s="216"/>
      <c r="I56" s="172"/>
      <c r="J56" s="218"/>
      <c r="K56" s="128">
        <v>58.512148455983706</v>
      </c>
      <c r="L56" s="129">
        <v>2236.7806328307497</v>
      </c>
      <c r="M56" s="129">
        <v>53.865537388087937</v>
      </c>
      <c r="N56" s="129">
        <v>15156.721172223402</v>
      </c>
      <c r="O56" s="129"/>
      <c r="P56" s="117">
        <v>35715</v>
      </c>
      <c r="Q56" s="161">
        <v>66898</v>
      </c>
      <c r="R56" s="161">
        <v>0</v>
      </c>
      <c r="S56" s="161">
        <v>-31183</v>
      </c>
      <c r="T56" s="124">
        <v>13654</v>
      </c>
      <c r="U56" s="124">
        <v>20074</v>
      </c>
      <c r="V56" s="136"/>
      <c r="X56" s="116">
        <v>9</v>
      </c>
      <c r="Y56" s="116">
        <v>371</v>
      </c>
      <c r="Z56" s="161">
        <v>2925</v>
      </c>
      <c r="AA56" s="116">
        <v>2784</v>
      </c>
      <c r="AB56" s="116">
        <v>0</v>
      </c>
      <c r="AD56" s="161">
        <v>141</v>
      </c>
      <c r="AE56" s="117">
        <v>0</v>
      </c>
      <c r="AF56" s="117">
        <v>-247</v>
      </c>
      <c r="AG56" s="116">
        <v>-39</v>
      </c>
      <c r="AH56" s="116">
        <v>-4</v>
      </c>
      <c r="AI56" s="160">
        <v>-149</v>
      </c>
      <c r="AJ56" s="161">
        <v>11272</v>
      </c>
      <c r="AK56" s="161">
        <v>3240</v>
      </c>
      <c r="AL56" s="150"/>
      <c r="AM56" s="161">
        <v>770</v>
      </c>
      <c r="AN56" s="161">
        <v>-1616</v>
      </c>
      <c r="AO56" s="160">
        <v>724</v>
      </c>
      <c r="AQ56" s="160"/>
      <c r="AR56" s="117"/>
      <c r="AS56" s="117"/>
      <c r="AT56" s="99">
        <v>20.75</v>
      </c>
      <c r="AU56" s="130"/>
      <c r="AV56" s="262">
        <v>103</v>
      </c>
      <c r="AW56" s="267">
        <v>4606</v>
      </c>
      <c r="AX56" s="124"/>
      <c r="AY56" s="255">
        <v>1.478530781169167</v>
      </c>
      <c r="AZ56" s="259">
        <v>26.826981804752638</v>
      </c>
      <c r="BA56" s="160">
        <v>-1561.2244897959185</v>
      </c>
      <c r="BB56" s="130"/>
      <c r="BC56" s="130"/>
      <c r="BD56" s="130"/>
      <c r="BE56" s="128">
        <v>58.737610850286906</v>
      </c>
      <c r="BF56" s="160">
        <v>1949.8480243161093</v>
      </c>
      <c r="BG56" s="129">
        <v>52.300345568828064</v>
      </c>
      <c r="BH56" s="131">
        <v>15957.881024750324</v>
      </c>
      <c r="BI56" s="124"/>
      <c r="BJ56" s="117">
        <v>36206</v>
      </c>
      <c r="BK56" s="117">
        <v>68085</v>
      </c>
      <c r="BL56" s="161">
        <v>0</v>
      </c>
      <c r="BM56" s="161">
        <v>-31879</v>
      </c>
      <c r="BN56" s="117">
        <v>13878</v>
      </c>
      <c r="BO56" s="117">
        <v>20319</v>
      </c>
      <c r="BP56" s="136"/>
      <c r="BR56" s="160">
        <v>-23</v>
      </c>
      <c r="BS56" s="160">
        <v>481</v>
      </c>
      <c r="BT56" s="161">
        <v>2776</v>
      </c>
      <c r="BU56" s="125">
        <v>2755</v>
      </c>
      <c r="BV56" s="160">
        <v>-165</v>
      </c>
      <c r="BW56" s="117"/>
      <c r="BX56" s="161">
        <v>-144</v>
      </c>
      <c r="BY56" s="161">
        <v>-3</v>
      </c>
      <c r="BZ56" s="161">
        <v>251</v>
      </c>
      <c r="CA56" s="160">
        <v>21</v>
      </c>
      <c r="CB56" s="160">
        <v>-3</v>
      </c>
      <c r="CC56" s="160">
        <v>80</v>
      </c>
      <c r="CD56" s="160">
        <v>10927</v>
      </c>
      <c r="CE56" s="116">
        <v>2116</v>
      </c>
      <c r="CF56" s="150"/>
      <c r="CG56" s="161">
        <v>-302</v>
      </c>
      <c r="CH56" s="160">
        <v>-1851</v>
      </c>
      <c r="CI56" s="159">
        <v>-1098</v>
      </c>
      <c r="CK56" s="124"/>
      <c r="CL56" s="161"/>
      <c r="CM56" s="124"/>
      <c r="CN56" s="265">
        <v>20.75</v>
      </c>
      <c r="CO56" s="130"/>
      <c r="CP56" s="116">
        <v>88</v>
      </c>
      <c r="CQ56" s="267">
        <v>4527</v>
      </c>
      <c r="CR56" s="124"/>
      <c r="CS56" s="268">
        <v>2.96741214057508</v>
      </c>
      <c r="CT56" s="269">
        <v>31.643640092568212</v>
      </c>
      <c r="CU56" s="160">
        <v>-1894.1904130770931</v>
      </c>
      <c r="CV56" s="130"/>
      <c r="CW56" s="130"/>
      <c r="CX56" s="130"/>
      <c r="CY56" s="269">
        <v>54.78539760399962</v>
      </c>
      <c r="CZ56" s="125">
        <v>2216.6998011928431</v>
      </c>
      <c r="DA56" s="125">
        <v>48.200115803187224</v>
      </c>
      <c r="DB56" s="273">
        <v>16786.171857742436</v>
      </c>
      <c r="DC56" s="124"/>
      <c r="DD56" s="117">
        <v>36482</v>
      </c>
      <c r="DE56" s="117">
        <v>67959</v>
      </c>
      <c r="DF56" s="117">
        <v>0</v>
      </c>
      <c r="DG56" s="117">
        <v>-31477</v>
      </c>
      <c r="DH56" s="117">
        <v>14022</v>
      </c>
      <c r="DI56" s="117">
        <v>21659</v>
      </c>
      <c r="DJ56" s="136"/>
      <c r="DL56" s="160">
        <v>-1</v>
      </c>
      <c r="DM56" s="160">
        <v>360</v>
      </c>
      <c r="DN56" s="161">
        <v>4563</v>
      </c>
      <c r="DO56" s="116">
        <v>3641</v>
      </c>
      <c r="DP56" s="160">
        <v>0</v>
      </c>
      <c r="DQ56" s="117"/>
      <c r="DR56" s="161">
        <v>922</v>
      </c>
      <c r="DS56" s="117">
        <v>0</v>
      </c>
      <c r="DT56" s="117">
        <v>2</v>
      </c>
      <c r="DU56" s="116">
        <v>0</v>
      </c>
      <c r="DV56" s="116">
        <v>-1</v>
      </c>
      <c r="DW56" s="160">
        <v>923</v>
      </c>
      <c r="DX56" s="160">
        <v>11832</v>
      </c>
      <c r="DY56" s="116">
        <v>4901</v>
      </c>
      <c r="DZ56" s="150"/>
      <c r="EA56" s="117">
        <v>-1515</v>
      </c>
      <c r="EB56" s="116">
        <v>-1484</v>
      </c>
      <c r="EC56" s="159">
        <v>-1417</v>
      </c>
      <c r="EE56" s="125"/>
      <c r="EF56" s="161"/>
      <c r="EG56" s="124"/>
      <c r="EH56" s="253">
        <v>20.75</v>
      </c>
      <c r="EI56" s="130"/>
      <c r="EJ56" s="125">
        <v>129</v>
      </c>
      <c r="EK56" s="116"/>
      <c r="EL56" s="159"/>
      <c r="EN56" s="116"/>
      <c r="EO56" s="116"/>
      <c r="EP56" s="159"/>
      <c r="EQ56" s="159">
        <v>-2771</v>
      </c>
      <c r="ER56" s="116">
        <v>49</v>
      </c>
      <c r="ES56" s="116">
        <v>206</v>
      </c>
      <c r="ET56" s="160">
        <v>-3466</v>
      </c>
      <c r="EU56" s="116">
        <v>2</v>
      </c>
      <c r="EV56" s="116">
        <v>250</v>
      </c>
      <c r="EW56" s="160">
        <v>-6458</v>
      </c>
      <c r="EX56" s="160">
        <v>22</v>
      </c>
      <c r="EY56" s="160">
        <v>118</v>
      </c>
      <c r="EZ56" s="116">
        <v>0</v>
      </c>
      <c r="FA56" s="116">
        <v>-4</v>
      </c>
      <c r="FB56" s="116">
        <v>1120</v>
      </c>
      <c r="FC56" s="160">
        <v>558</v>
      </c>
      <c r="FD56" s="116">
        <v>1746</v>
      </c>
      <c r="FE56" s="116">
        <v>3184</v>
      </c>
      <c r="FF56" s="3">
        <v>11039</v>
      </c>
      <c r="FG56" s="3">
        <v>9806</v>
      </c>
      <c r="FH56" s="3">
        <v>1233</v>
      </c>
      <c r="FI56" s="3">
        <v>2770</v>
      </c>
      <c r="FJ56" s="125">
        <v>10866</v>
      </c>
      <c r="FK56" s="160">
        <v>9066</v>
      </c>
      <c r="FL56" s="125">
        <v>1800</v>
      </c>
      <c r="FM56" s="116">
        <v>2770</v>
      </c>
      <c r="FN56" s="125">
        <v>14312</v>
      </c>
      <c r="FO56" s="116">
        <v>9178</v>
      </c>
      <c r="FP56" s="116">
        <v>5134</v>
      </c>
      <c r="FQ56" s="116">
        <v>-1515</v>
      </c>
      <c r="FR56" s="153">
        <v>835</v>
      </c>
      <c r="FS56" s="153">
        <v>425</v>
      </c>
      <c r="FT56" s="276">
        <v>528</v>
      </c>
      <c r="FU56" s="3">
        <v>1468</v>
      </c>
      <c r="FV56" s="159">
        <v>2429</v>
      </c>
      <c r="FW56" s="170"/>
      <c r="FZ56" s="155"/>
      <c r="GA56" s="2"/>
      <c r="GD56" s="163"/>
      <c r="GE56" s="2"/>
      <c r="GF56" s="2"/>
    </row>
    <row r="57" spans="1:188" ht="14.5" x14ac:dyDescent="0.35">
      <c r="A57" s="72">
        <v>177</v>
      </c>
      <c r="B57" s="70" t="s">
        <v>56</v>
      </c>
      <c r="C57" s="158">
        <v>1884</v>
      </c>
      <c r="D57" s="171"/>
      <c r="E57" s="128">
        <v>68.333333333333329</v>
      </c>
      <c r="F57" s="128">
        <v>48.743961352657003</v>
      </c>
      <c r="G57" s="129">
        <v>-3532.3779193205946</v>
      </c>
      <c r="H57" s="216"/>
      <c r="I57" s="172"/>
      <c r="J57" s="218"/>
      <c r="K57" s="128">
        <v>49.708914169737753</v>
      </c>
      <c r="L57" s="129">
        <v>632.16560509554142</v>
      </c>
      <c r="M57" s="129">
        <v>22.753991101805809</v>
      </c>
      <c r="N57" s="129">
        <v>10140.658174097665</v>
      </c>
      <c r="O57" s="129"/>
      <c r="P57" s="117">
        <v>7480</v>
      </c>
      <c r="Q57" s="161">
        <v>17860</v>
      </c>
      <c r="R57" s="161">
        <v>24</v>
      </c>
      <c r="S57" s="161">
        <v>-10356</v>
      </c>
      <c r="T57" s="124">
        <v>6911</v>
      </c>
      <c r="U57" s="124">
        <v>4239</v>
      </c>
      <c r="V57" s="136"/>
      <c r="X57" s="116">
        <v>-38</v>
      </c>
      <c r="Y57" s="116">
        <v>1</v>
      </c>
      <c r="Z57" s="161">
        <v>757</v>
      </c>
      <c r="AA57" s="116">
        <v>831</v>
      </c>
      <c r="AB57" s="117">
        <v>0</v>
      </c>
      <c r="AD57" s="161">
        <v>-74</v>
      </c>
      <c r="AE57" s="117">
        <v>71</v>
      </c>
      <c r="AF57" s="117">
        <v>-1</v>
      </c>
      <c r="AG57" s="116">
        <v>0</v>
      </c>
      <c r="AH57" s="116">
        <v>0</v>
      </c>
      <c r="AI57" s="160">
        <v>-4</v>
      </c>
      <c r="AJ57" s="161">
        <v>2704</v>
      </c>
      <c r="AK57" s="161">
        <v>765</v>
      </c>
      <c r="AL57" s="150"/>
      <c r="AM57" s="161">
        <v>-373</v>
      </c>
      <c r="AN57" s="161">
        <v>51</v>
      </c>
      <c r="AO57" s="160">
        <v>-334</v>
      </c>
      <c r="AQ57" s="160"/>
      <c r="AR57" s="117"/>
      <c r="AS57" s="117"/>
      <c r="AT57" s="99">
        <v>21</v>
      </c>
      <c r="AU57" s="130"/>
      <c r="AV57" s="262">
        <v>181</v>
      </c>
      <c r="AW57" s="267">
        <v>1844</v>
      </c>
      <c r="AX57" s="124"/>
      <c r="AY57" s="255">
        <v>5.3557312252964424</v>
      </c>
      <c r="AZ57" s="259">
        <v>48.648369256215432</v>
      </c>
      <c r="BA57" s="160">
        <v>-3680.5856832971799</v>
      </c>
      <c r="BB57" s="130"/>
      <c r="BC57" s="130"/>
      <c r="BD57" s="130"/>
      <c r="BE57" s="128">
        <v>50.280855449626387</v>
      </c>
      <c r="BF57" s="160">
        <v>822.6681127982647</v>
      </c>
      <c r="BG57" s="129">
        <v>22.080201137748883</v>
      </c>
      <c r="BH57" s="131">
        <v>10676.789587852494</v>
      </c>
      <c r="BI57" s="124"/>
      <c r="BJ57" s="117">
        <v>7775</v>
      </c>
      <c r="BK57" s="117">
        <v>18029</v>
      </c>
      <c r="BL57" s="161">
        <v>31</v>
      </c>
      <c r="BM57" s="161">
        <v>-10223</v>
      </c>
      <c r="BN57" s="117">
        <v>7159</v>
      </c>
      <c r="BO57" s="117">
        <v>4413</v>
      </c>
      <c r="BP57" s="136"/>
      <c r="BR57" s="160">
        <v>-60</v>
      </c>
      <c r="BS57" s="160">
        <v>-1</v>
      </c>
      <c r="BT57" s="161">
        <v>1288</v>
      </c>
      <c r="BU57" s="125">
        <v>825</v>
      </c>
      <c r="BV57" s="161">
        <v>0</v>
      </c>
      <c r="BX57" s="161">
        <v>463</v>
      </c>
      <c r="BY57" s="161">
        <v>72</v>
      </c>
      <c r="BZ57" s="160">
        <v>10</v>
      </c>
      <c r="CA57" s="160">
        <v>9</v>
      </c>
      <c r="CB57" s="160">
        <v>-1</v>
      </c>
      <c r="CC57" s="160">
        <v>535</v>
      </c>
      <c r="CD57" s="160">
        <v>3124</v>
      </c>
      <c r="CE57" s="116">
        <v>1178</v>
      </c>
      <c r="CF57" s="150"/>
      <c r="CG57" s="160">
        <v>124</v>
      </c>
      <c r="CH57" s="160">
        <v>-186</v>
      </c>
      <c r="CI57" s="159">
        <v>-131</v>
      </c>
      <c r="CK57" s="124"/>
      <c r="CL57" s="161"/>
      <c r="CM57" s="124"/>
      <c r="CN57" s="265">
        <v>21</v>
      </c>
      <c r="CO57" s="130"/>
      <c r="CP57" s="116">
        <v>61</v>
      </c>
      <c r="CQ57" s="267">
        <v>1800</v>
      </c>
      <c r="CR57" s="124"/>
      <c r="CS57" s="268">
        <v>4.6330532212885158</v>
      </c>
      <c r="CT57" s="269">
        <v>46.748187959173613</v>
      </c>
      <c r="CU57" s="160">
        <v>-3236.666666666667</v>
      </c>
      <c r="CV57" s="130"/>
      <c r="CW57" s="130"/>
      <c r="CX57" s="130"/>
      <c r="CY57" s="269">
        <v>49.764724132581833</v>
      </c>
      <c r="CZ57" s="125">
        <v>1427.7777777777778</v>
      </c>
      <c r="DA57" s="125">
        <v>47.750063629422243</v>
      </c>
      <c r="DB57" s="273">
        <v>10913.888888888891</v>
      </c>
      <c r="DC57" s="124"/>
      <c r="DD57" s="117">
        <v>8169</v>
      </c>
      <c r="DE57" s="117">
        <v>18617</v>
      </c>
      <c r="DF57" s="117">
        <v>-68</v>
      </c>
      <c r="DG57" s="117">
        <v>-10516</v>
      </c>
      <c r="DH57" s="117">
        <v>7135</v>
      </c>
      <c r="DI57" s="117">
        <v>4977</v>
      </c>
      <c r="DJ57" s="136"/>
      <c r="DL57" s="160">
        <v>-74</v>
      </c>
      <c r="DM57" s="160">
        <v>56</v>
      </c>
      <c r="DN57" s="161">
        <v>1578</v>
      </c>
      <c r="DO57" s="116">
        <v>948</v>
      </c>
      <c r="DP57" s="161">
        <v>0</v>
      </c>
      <c r="DR57" s="161">
        <v>630</v>
      </c>
      <c r="DS57" s="117">
        <v>31</v>
      </c>
      <c r="DT57" s="116">
        <v>11</v>
      </c>
      <c r="DU57" s="116">
        <v>30</v>
      </c>
      <c r="DV57" s="116">
        <v>0</v>
      </c>
      <c r="DW57" s="160">
        <v>642</v>
      </c>
      <c r="DX57" s="160">
        <v>2932</v>
      </c>
      <c r="DY57" s="116">
        <v>1608</v>
      </c>
      <c r="DZ57" s="150"/>
      <c r="EA57" s="116">
        <v>23</v>
      </c>
      <c r="EB57" s="116">
        <v>-281</v>
      </c>
      <c r="EC57" s="159">
        <v>961</v>
      </c>
      <c r="EE57" s="125"/>
      <c r="EF57" s="161"/>
      <c r="EG57" s="124"/>
      <c r="EH57" s="253">
        <v>21</v>
      </c>
      <c r="EI57" s="130"/>
      <c r="EJ57" s="125">
        <v>199</v>
      </c>
      <c r="EK57" s="116"/>
      <c r="EL57" s="159"/>
      <c r="EN57" s="116"/>
      <c r="EO57" s="116"/>
      <c r="EP57" s="159"/>
      <c r="EQ57" s="159">
        <v>-1224</v>
      </c>
      <c r="ER57" s="116">
        <v>128</v>
      </c>
      <c r="ES57" s="116">
        <v>-3</v>
      </c>
      <c r="ET57" s="160">
        <v>-1320</v>
      </c>
      <c r="EU57" s="116">
        <v>1</v>
      </c>
      <c r="EV57" s="116">
        <v>10</v>
      </c>
      <c r="EW57" s="160">
        <v>-649</v>
      </c>
      <c r="EX57" s="160">
        <v>1</v>
      </c>
      <c r="EY57" s="160">
        <v>1</v>
      </c>
      <c r="EZ57" s="116">
        <v>0</v>
      </c>
      <c r="FA57" s="116">
        <v>262</v>
      </c>
      <c r="FB57" s="116">
        <v>955</v>
      </c>
      <c r="FC57" s="160">
        <v>-406</v>
      </c>
      <c r="FD57" s="116">
        <v>-447</v>
      </c>
      <c r="FE57" s="116">
        <v>988</v>
      </c>
      <c r="FF57" s="3">
        <v>6405</v>
      </c>
      <c r="FG57" s="3">
        <v>4912</v>
      </c>
      <c r="FH57" s="3">
        <v>1493</v>
      </c>
      <c r="FI57" s="3">
        <v>52</v>
      </c>
      <c r="FJ57" s="125">
        <v>6763</v>
      </c>
      <c r="FK57" s="160">
        <v>5634</v>
      </c>
      <c r="FL57" s="125">
        <v>1129</v>
      </c>
      <c r="FM57" s="116">
        <v>30</v>
      </c>
      <c r="FN57" s="125">
        <v>7116</v>
      </c>
      <c r="FO57" s="116">
        <v>4920</v>
      </c>
      <c r="FP57" s="116">
        <v>2196</v>
      </c>
      <c r="FQ57" s="116">
        <v>23</v>
      </c>
      <c r="FR57" s="153">
        <v>299</v>
      </c>
      <c r="FS57" s="153">
        <v>287</v>
      </c>
      <c r="FT57" s="276">
        <v>273</v>
      </c>
      <c r="FU57" s="3">
        <v>621</v>
      </c>
      <c r="FV57" s="159">
        <v>870</v>
      </c>
      <c r="FW57" s="170"/>
      <c r="FZ57" s="155"/>
      <c r="GA57" s="2"/>
      <c r="GD57" s="163"/>
      <c r="GE57" s="2"/>
      <c r="GF57" s="2"/>
    </row>
    <row r="58" spans="1:188" ht="14.5" x14ac:dyDescent="0.35">
      <c r="A58" s="72">
        <v>178</v>
      </c>
      <c r="B58" s="70" t="s">
        <v>57</v>
      </c>
      <c r="C58" s="158">
        <v>6225</v>
      </c>
      <c r="D58" s="171"/>
      <c r="E58" s="128">
        <v>1.0957765214499502</v>
      </c>
      <c r="F58" s="128">
        <v>55.971822847158208</v>
      </c>
      <c r="G58" s="129">
        <v>-5449.6385542168673</v>
      </c>
      <c r="H58" s="216"/>
      <c r="I58" s="172"/>
      <c r="J58" s="218"/>
      <c r="K58" s="128">
        <v>51.801812213952196</v>
      </c>
      <c r="L58" s="129">
        <v>243.05220883534136</v>
      </c>
      <c r="M58" s="129">
        <v>7.050776262703641</v>
      </c>
      <c r="N58" s="129">
        <v>12582.168674698796</v>
      </c>
      <c r="O58" s="129"/>
      <c r="P58" s="117">
        <v>31710</v>
      </c>
      <c r="Q58" s="161">
        <v>70030</v>
      </c>
      <c r="R58" s="161">
        <v>153</v>
      </c>
      <c r="S58" s="161">
        <v>-38167</v>
      </c>
      <c r="T58" s="124">
        <v>19425</v>
      </c>
      <c r="U58" s="124">
        <v>21548</v>
      </c>
      <c r="V58" s="136"/>
      <c r="X58" s="116">
        <v>-192</v>
      </c>
      <c r="Y58" s="116">
        <v>484</v>
      </c>
      <c r="Z58" s="161">
        <v>3098</v>
      </c>
      <c r="AA58" s="116">
        <v>2731</v>
      </c>
      <c r="AB58" s="117">
        <v>-115</v>
      </c>
      <c r="AD58" s="161">
        <v>252</v>
      </c>
      <c r="AE58" s="117">
        <v>-1</v>
      </c>
      <c r="AF58" s="117">
        <v>-18</v>
      </c>
      <c r="AG58" s="116">
        <v>0</v>
      </c>
      <c r="AH58" s="116">
        <v>0</v>
      </c>
      <c r="AI58" s="160">
        <v>233</v>
      </c>
      <c r="AJ58" s="161">
        <v>3993</v>
      </c>
      <c r="AK58" s="161">
        <v>2705</v>
      </c>
      <c r="AL58" s="150"/>
      <c r="AM58" s="161">
        <v>-883</v>
      </c>
      <c r="AN58" s="161">
        <v>-2810</v>
      </c>
      <c r="AO58" s="160">
        <v>-3421</v>
      </c>
      <c r="AQ58" s="160"/>
      <c r="AR58" s="117"/>
      <c r="AS58" s="117"/>
      <c r="AT58" s="99">
        <v>20.75</v>
      </c>
      <c r="AU58" s="130"/>
      <c r="AV58" s="262">
        <v>143</v>
      </c>
      <c r="AW58" s="267">
        <v>6116</v>
      </c>
      <c r="AX58" s="124"/>
      <c r="AY58" s="255">
        <v>0.68145800316957206</v>
      </c>
      <c r="AZ58" s="259">
        <v>57.828001413389146</v>
      </c>
      <c r="BA58" s="160">
        <v>-5938.8489208633091</v>
      </c>
      <c r="BB58" s="130"/>
      <c r="BC58" s="130"/>
      <c r="BD58" s="130"/>
      <c r="BE58" s="128">
        <v>50.168605051269701</v>
      </c>
      <c r="BF58" s="160">
        <v>301.34074558534991</v>
      </c>
      <c r="BG58" s="129">
        <v>6.8866206930952343</v>
      </c>
      <c r="BH58" s="131">
        <v>13111.674296926096</v>
      </c>
      <c r="BI58" s="124"/>
      <c r="BJ58" s="117">
        <v>32631</v>
      </c>
      <c r="BK58" s="117">
        <v>72191</v>
      </c>
      <c r="BL58" s="161">
        <v>67</v>
      </c>
      <c r="BM58" s="161">
        <v>-39493</v>
      </c>
      <c r="BN58" s="117">
        <v>19755</v>
      </c>
      <c r="BO58" s="117">
        <v>21196</v>
      </c>
      <c r="BP58" s="136"/>
      <c r="BR58" s="160">
        <v>-235</v>
      </c>
      <c r="BS58" s="160">
        <v>687</v>
      </c>
      <c r="BT58" s="161">
        <v>1910</v>
      </c>
      <c r="BU58" s="125">
        <v>2896</v>
      </c>
      <c r="BV58" s="161">
        <v>11</v>
      </c>
      <c r="BW58" s="117"/>
      <c r="BX58" s="161">
        <v>-975</v>
      </c>
      <c r="BY58" s="161">
        <v>0</v>
      </c>
      <c r="BZ58" s="160">
        <v>4</v>
      </c>
      <c r="CA58" s="160">
        <v>0</v>
      </c>
      <c r="CB58" s="160">
        <v>0</v>
      </c>
      <c r="CC58" s="160">
        <v>-971</v>
      </c>
      <c r="CD58" s="160">
        <v>2863</v>
      </c>
      <c r="CE58" s="116">
        <v>2711</v>
      </c>
      <c r="CF58" s="150"/>
      <c r="CG58" s="160">
        <v>1053</v>
      </c>
      <c r="CH58" s="160">
        <v>-2915</v>
      </c>
      <c r="CI58" s="159">
        <v>-2398</v>
      </c>
      <c r="CK58" s="124"/>
      <c r="CL58" s="161"/>
      <c r="CM58" s="124"/>
      <c r="CN58" s="265">
        <v>20.75</v>
      </c>
      <c r="CO58" s="130"/>
      <c r="CP58" s="116">
        <v>206</v>
      </c>
      <c r="CQ58" s="267">
        <v>5932</v>
      </c>
      <c r="CR58" s="124"/>
      <c r="CS58" s="268">
        <v>3.513608870967742</v>
      </c>
      <c r="CT58" s="269">
        <v>56.273633551048469</v>
      </c>
      <c r="CU58" s="160">
        <v>-5764.6662171274438</v>
      </c>
      <c r="CV58" s="130"/>
      <c r="CW58" s="130"/>
      <c r="CX58" s="130"/>
      <c r="CY58" s="269">
        <v>49.613205552030813</v>
      </c>
      <c r="CZ58" s="125">
        <v>728.25354012137552</v>
      </c>
      <c r="DA58" s="125">
        <v>19.782205048426757</v>
      </c>
      <c r="DB58" s="273">
        <v>13436.952124072825</v>
      </c>
      <c r="DC58" s="124"/>
      <c r="DD58" s="117">
        <v>33749</v>
      </c>
      <c r="DE58" s="117">
        <v>71913</v>
      </c>
      <c r="DF58" s="117">
        <v>-314</v>
      </c>
      <c r="DG58" s="117">
        <v>-38478</v>
      </c>
      <c r="DH58" s="117">
        <v>20160</v>
      </c>
      <c r="DI58" s="117">
        <v>24634</v>
      </c>
      <c r="DJ58" s="136"/>
      <c r="DL58" s="160">
        <v>-175</v>
      </c>
      <c r="DM58" s="160">
        <v>649</v>
      </c>
      <c r="DN58" s="161">
        <v>6790</v>
      </c>
      <c r="DO58" s="116">
        <v>5936</v>
      </c>
      <c r="DP58" s="161">
        <v>0</v>
      </c>
      <c r="DQ58" s="117"/>
      <c r="DR58" s="161">
        <v>854</v>
      </c>
      <c r="DS58" s="117">
        <v>0</v>
      </c>
      <c r="DT58" s="116">
        <v>0</v>
      </c>
      <c r="DU58" s="116">
        <v>0</v>
      </c>
      <c r="DV58" s="116">
        <v>-10</v>
      </c>
      <c r="DW58" s="160">
        <v>844</v>
      </c>
      <c r="DX58" s="160">
        <v>3693</v>
      </c>
      <c r="DY58" s="116">
        <v>7143</v>
      </c>
      <c r="DZ58" s="150"/>
      <c r="EA58" s="116">
        <v>-1297</v>
      </c>
      <c r="EB58" s="116">
        <v>-1803</v>
      </c>
      <c r="EC58" s="159">
        <v>2154</v>
      </c>
      <c r="EE58" s="125"/>
      <c r="EF58" s="161"/>
      <c r="EG58" s="124"/>
      <c r="EH58" s="253">
        <v>20.75</v>
      </c>
      <c r="EI58" s="130"/>
      <c r="EJ58" s="125">
        <v>95</v>
      </c>
      <c r="EK58" s="116"/>
      <c r="EL58" s="159"/>
      <c r="EN58" s="116"/>
      <c r="EO58" s="116"/>
      <c r="EP58" s="159"/>
      <c r="EQ58" s="159">
        <v>-6290</v>
      </c>
      <c r="ER58" s="116">
        <v>33</v>
      </c>
      <c r="ES58" s="116">
        <v>131</v>
      </c>
      <c r="ET58" s="160">
        <v>-5870</v>
      </c>
      <c r="EU58" s="116">
        <v>264</v>
      </c>
      <c r="EV58" s="116">
        <v>497</v>
      </c>
      <c r="EW58" s="160">
        <v>-5748</v>
      </c>
      <c r="EX58" s="160">
        <v>529</v>
      </c>
      <c r="EY58" s="160">
        <v>230</v>
      </c>
      <c r="EZ58" s="116">
        <v>1063</v>
      </c>
      <c r="FA58" s="116">
        <v>843</v>
      </c>
      <c r="FB58" s="116">
        <v>4540</v>
      </c>
      <c r="FC58" s="160">
        <v>-149</v>
      </c>
      <c r="FD58" s="116">
        <v>2994</v>
      </c>
      <c r="FE58" s="116">
        <v>-849</v>
      </c>
      <c r="FF58" s="3">
        <v>31903</v>
      </c>
      <c r="FG58" s="3">
        <v>19226</v>
      </c>
      <c r="FH58" s="3">
        <v>12677</v>
      </c>
      <c r="FI58" s="3">
        <v>160</v>
      </c>
      <c r="FJ58" s="125">
        <v>34413</v>
      </c>
      <c r="FK58" s="160">
        <v>21620</v>
      </c>
      <c r="FL58" s="125">
        <v>12793</v>
      </c>
      <c r="FM58" s="116">
        <v>161</v>
      </c>
      <c r="FN58" s="125">
        <v>34757</v>
      </c>
      <c r="FO58" s="116">
        <v>21961</v>
      </c>
      <c r="FP58" s="116">
        <v>12796</v>
      </c>
      <c r="FQ58" s="116">
        <v>-1297</v>
      </c>
      <c r="FR58" s="153">
        <v>1366</v>
      </c>
      <c r="FS58" s="153">
        <v>1323</v>
      </c>
      <c r="FT58" s="276">
        <v>1282</v>
      </c>
      <c r="FU58" s="3">
        <v>1814</v>
      </c>
      <c r="FV58" s="159">
        <v>12589</v>
      </c>
      <c r="FW58" s="170"/>
      <c r="FZ58" s="155"/>
      <c r="GA58" s="2"/>
      <c r="GD58" s="163"/>
      <c r="GE58" s="2"/>
      <c r="GF58" s="2"/>
    </row>
    <row r="59" spans="1:188" ht="14.5" x14ac:dyDescent="0.35">
      <c r="A59" s="72">
        <v>179</v>
      </c>
      <c r="B59" s="70" t="s">
        <v>58</v>
      </c>
      <c r="C59" s="158">
        <v>141305</v>
      </c>
      <c r="D59" s="171"/>
      <c r="E59" s="128">
        <v>1.0403040304030402</v>
      </c>
      <c r="F59" s="128">
        <v>102.10188255761825</v>
      </c>
      <c r="G59" s="129">
        <v>-8679.5230175860725</v>
      </c>
      <c r="H59" s="216"/>
      <c r="I59" s="172"/>
      <c r="J59" s="218"/>
      <c r="K59" s="128">
        <v>26.191919563355938</v>
      </c>
      <c r="L59" s="129">
        <v>262.09971338593823</v>
      </c>
      <c r="M59" s="129">
        <v>8.565184829426725</v>
      </c>
      <c r="N59" s="129">
        <v>11169.215526697568</v>
      </c>
      <c r="O59" s="129"/>
      <c r="P59" s="117">
        <v>570959</v>
      </c>
      <c r="Q59" s="161">
        <v>1203046</v>
      </c>
      <c r="R59" s="161">
        <v>935</v>
      </c>
      <c r="S59" s="161">
        <v>-631152</v>
      </c>
      <c r="T59" s="124">
        <v>510190</v>
      </c>
      <c r="U59" s="124">
        <v>266167</v>
      </c>
      <c r="V59" s="136"/>
      <c r="X59" s="116">
        <v>-15292</v>
      </c>
      <c r="Y59" s="116">
        <v>-296</v>
      </c>
      <c r="Z59" s="161">
        <v>129617</v>
      </c>
      <c r="AA59" s="116">
        <v>114136</v>
      </c>
      <c r="AB59" s="117">
        <v>0</v>
      </c>
      <c r="AD59" s="161">
        <v>15481</v>
      </c>
      <c r="AE59" s="117">
        <v>-637</v>
      </c>
      <c r="AF59" s="117">
        <v>-498</v>
      </c>
      <c r="AG59" s="116">
        <v>-2413</v>
      </c>
      <c r="AH59" s="117">
        <v>-2174</v>
      </c>
      <c r="AI59" s="160">
        <v>9759</v>
      </c>
      <c r="AJ59" s="161">
        <v>33107</v>
      </c>
      <c r="AK59" s="161">
        <v>109171</v>
      </c>
      <c r="AL59" s="150"/>
      <c r="AM59" s="161">
        <v>-5600</v>
      </c>
      <c r="AN59" s="161">
        <v>-123975</v>
      </c>
      <c r="AO59" s="160">
        <v>-100981</v>
      </c>
      <c r="AQ59" s="160"/>
      <c r="AR59" s="117"/>
      <c r="AS59" s="117"/>
      <c r="AT59" s="99">
        <v>20</v>
      </c>
      <c r="AU59" s="130"/>
      <c r="AV59" s="262">
        <v>31</v>
      </c>
      <c r="AW59" s="267">
        <v>142400</v>
      </c>
      <c r="AX59" s="124"/>
      <c r="AY59" s="255">
        <v>1.270035799522673</v>
      </c>
      <c r="AZ59" s="259">
        <v>113.12725592125618</v>
      </c>
      <c r="BA59" s="160">
        <v>-9465.0210674157297</v>
      </c>
      <c r="BB59" s="130"/>
      <c r="BC59" s="130"/>
      <c r="BD59" s="130"/>
      <c r="BE59" s="128">
        <v>24.45916228463421</v>
      </c>
      <c r="BF59" s="160">
        <v>330.26685393258424</v>
      </c>
      <c r="BG59" s="129">
        <v>8.9463969583359528</v>
      </c>
      <c r="BH59" s="131">
        <v>10611.060393258427</v>
      </c>
      <c r="BI59" s="124"/>
      <c r="BJ59" s="117">
        <v>525287</v>
      </c>
      <c r="BK59" s="117">
        <v>1202071</v>
      </c>
      <c r="BL59" s="161">
        <v>-659</v>
      </c>
      <c r="BM59" s="161">
        <v>-677443</v>
      </c>
      <c r="BN59" s="117">
        <v>518222</v>
      </c>
      <c r="BO59" s="117">
        <v>265546</v>
      </c>
      <c r="BP59" s="136"/>
      <c r="BR59" s="160">
        <v>-14634</v>
      </c>
      <c r="BS59" s="160">
        <v>-632</v>
      </c>
      <c r="BT59" s="161">
        <v>91059</v>
      </c>
      <c r="BU59" s="125">
        <v>115464</v>
      </c>
      <c r="BV59" s="161">
        <v>0</v>
      </c>
      <c r="BX59" s="161">
        <v>-24405</v>
      </c>
      <c r="BY59" s="161">
        <v>-424</v>
      </c>
      <c r="BZ59" s="160">
        <v>80</v>
      </c>
      <c r="CA59" s="161">
        <v>3207</v>
      </c>
      <c r="CB59" s="161">
        <v>-904</v>
      </c>
      <c r="CC59" s="160">
        <v>-28860</v>
      </c>
      <c r="CD59" s="160">
        <v>4247</v>
      </c>
      <c r="CE59" s="116">
        <v>77873</v>
      </c>
      <c r="CF59" s="150"/>
      <c r="CG59" s="161">
        <v>26475</v>
      </c>
      <c r="CH59" s="160">
        <v>-68430</v>
      </c>
      <c r="CI59" s="159">
        <v>-127003</v>
      </c>
      <c r="CK59" s="124"/>
      <c r="CL59" s="161"/>
      <c r="CM59" s="124"/>
      <c r="CN59" s="265">
        <v>20</v>
      </c>
      <c r="CO59" s="130"/>
      <c r="CP59" s="116">
        <v>79</v>
      </c>
      <c r="CQ59" s="267">
        <v>143420</v>
      </c>
      <c r="CR59" s="124"/>
      <c r="CS59" s="268">
        <v>0.77833350751728159</v>
      </c>
      <c r="CT59" s="269">
        <v>108.40319220593696</v>
      </c>
      <c r="CU59" s="160">
        <v>-9625.6798215032777</v>
      </c>
      <c r="CV59" s="130"/>
      <c r="CW59" s="130"/>
      <c r="CX59" s="130"/>
      <c r="CY59" s="269">
        <v>24.930657927533989</v>
      </c>
      <c r="CZ59" s="125">
        <v>277.95983823734485</v>
      </c>
      <c r="DA59" s="125">
        <v>9.0748000681043841</v>
      </c>
      <c r="DB59" s="273">
        <v>11179.898201087715</v>
      </c>
      <c r="DC59" s="124"/>
      <c r="DD59" s="117">
        <v>504671</v>
      </c>
      <c r="DE59" s="117">
        <v>1219554</v>
      </c>
      <c r="DF59" s="117">
        <v>-217</v>
      </c>
      <c r="DG59" s="117">
        <v>-715100</v>
      </c>
      <c r="DH59" s="117">
        <v>542791</v>
      </c>
      <c r="DI59" s="117">
        <v>328765</v>
      </c>
      <c r="DJ59" s="136"/>
      <c r="DL59" s="160">
        <v>-14677</v>
      </c>
      <c r="DM59" s="160">
        <v>-809</v>
      </c>
      <c r="DN59" s="161">
        <v>140970</v>
      </c>
      <c r="DO59" s="116">
        <v>120904</v>
      </c>
      <c r="DP59" s="161">
        <v>0</v>
      </c>
      <c r="DR59" s="161">
        <v>20066</v>
      </c>
      <c r="DS59" s="117">
        <v>-494</v>
      </c>
      <c r="DT59" s="116">
        <v>-66</v>
      </c>
      <c r="DU59" s="117">
        <v>1534</v>
      </c>
      <c r="DV59" s="117">
        <v>-1792</v>
      </c>
      <c r="DW59" s="160">
        <v>16180</v>
      </c>
      <c r="DX59" s="160">
        <v>20930</v>
      </c>
      <c r="DY59" s="116">
        <v>131116</v>
      </c>
      <c r="DZ59" s="150"/>
      <c r="EA59" s="117">
        <v>14553</v>
      </c>
      <c r="EB59" s="116">
        <v>-185511</v>
      </c>
      <c r="EC59" s="159">
        <v>-31057</v>
      </c>
      <c r="EE59" s="125"/>
      <c r="EF59" s="161"/>
      <c r="EG59" s="124"/>
      <c r="EH59" s="253">
        <v>20</v>
      </c>
      <c r="EI59" s="130"/>
      <c r="EJ59" s="125">
        <v>137</v>
      </c>
      <c r="EK59" s="116"/>
      <c r="EL59" s="159"/>
      <c r="EN59" s="116"/>
      <c r="EO59" s="116"/>
      <c r="EP59" s="159"/>
      <c r="EQ59" s="159">
        <v>-233394</v>
      </c>
      <c r="ER59" s="116">
        <v>1776</v>
      </c>
      <c r="ES59" s="116">
        <v>21466</v>
      </c>
      <c r="ET59" s="160">
        <v>-223676</v>
      </c>
      <c r="EU59" s="116">
        <v>1353</v>
      </c>
      <c r="EV59" s="116">
        <v>17447</v>
      </c>
      <c r="EW59" s="160">
        <v>-181507</v>
      </c>
      <c r="EX59" s="160">
        <v>1559</v>
      </c>
      <c r="EY59" s="160">
        <v>17775</v>
      </c>
      <c r="EZ59" s="116">
        <v>171824</v>
      </c>
      <c r="FA59" s="116">
        <v>14737</v>
      </c>
      <c r="FB59" s="116">
        <v>122639</v>
      </c>
      <c r="FC59" s="160">
        <v>62142</v>
      </c>
      <c r="FD59" s="116">
        <v>249585</v>
      </c>
      <c r="FE59" s="116">
        <v>-53442</v>
      </c>
      <c r="FF59" s="3">
        <v>1099603</v>
      </c>
      <c r="FG59" s="3">
        <v>980473</v>
      </c>
      <c r="FH59" s="3">
        <v>119130</v>
      </c>
      <c r="FI59" s="3">
        <v>2652</v>
      </c>
      <c r="FJ59" s="125">
        <v>1215954</v>
      </c>
      <c r="FK59" s="160">
        <v>1039498</v>
      </c>
      <c r="FL59" s="125">
        <v>176456</v>
      </c>
      <c r="FM59" s="116">
        <v>1598</v>
      </c>
      <c r="FN59" s="125">
        <v>1226586</v>
      </c>
      <c r="FO59" s="116">
        <v>1061260</v>
      </c>
      <c r="FP59" s="116">
        <v>165326</v>
      </c>
      <c r="FQ59" s="116">
        <v>14553</v>
      </c>
      <c r="FR59" s="153">
        <v>7045</v>
      </c>
      <c r="FS59" s="153">
        <v>5961</v>
      </c>
      <c r="FT59" s="276">
        <v>24911</v>
      </c>
      <c r="FU59" s="3">
        <v>112070</v>
      </c>
      <c r="FV59" s="159">
        <v>134096</v>
      </c>
      <c r="FW59" s="170"/>
      <c r="FZ59" s="155"/>
      <c r="GA59" s="2"/>
      <c r="GD59" s="163"/>
      <c r="GE59" s="2"/>
      <c r="GF59" s="2"/>
    </row>
    <row r="60" spans="1:188" ht="14.5" x14ac:dyDescent="0.35">
      <c r="A60" s="72">
        <v>181</v>
      </c>
      <c r="B60" s="70" t="s">
        <v>59</v>
      </c>
      <c r="C60" s="158">
        <v>1809</v>
      </c>
      <c r="D60" s="171"/>
      <c r="E60" s="128">
        <v>0.87007874015748032</v>
      </c>
      <c r="F60" s="128">
        <v>43.661432401378782</v>
      </c>
      <c r="G60" s="129">
        <v>-3845.2183526810391</v>
      </c>
      <c r="H60" s="216"/>
      <c r="I60" s="172"/>
      <c r="J60" s="218"/>
      <c r="K60" s="128">
        <v>15.345315208466381</v>
      </c>
      <c r="L60" s="129">
        <v>365.94803758982863</v>
      </c>
      <c r="M60" s="129">
        <v>11.077847056666055</v>
      </c>
      <c r="N60" s="129">
        <v>12057.490326147043</v>
      </c>
      <c r="O60" s="129"/>
      <c r="P60" s="117">
        <v>9347</v>
      </c>
      <c r="Q60" s="161">
        <v>20040</v>
      </c>
      <c r="R60" s="161">
        <v>0</v>
      </c>
      <c r="S60" s="161">
        <v>-10693</v>
      </c>
      <c r="T60" s="124">
        <v>5760</v>
      </c>
      <c r="U60" s="124">
        <v>5781</v>
      </c>
      <c r="V60" s="136"/>
      <c r="X60" s="116">
        <v>-47</v>
      </c>
      <c r="Y60" s="116">
        <v>36</v>
      </c>
      <c r="Z60" s="161">
        <v>837</v>
      </c>
      <c r="AA60" s="116">
        <v>553</v>
      </c>
      <c r="AB60" s="116">
        <v>407</v>
      </c>
      <c r="AD60" s="161">
        <v>691</v>
      </c>
      <c r="AE60" s="116">
        <v>0</v>
      </c>
      <c r="AF60" s="116">
        <v>0</v>
      </c>
      <c r="AG60" s="116">
        <v>0</v>
      </c>
      <c r="AH60" s="116">
        <v>0</v>
      </c>
      <c r="AI60" s="160">
        <v>691</v>
      </c>
      <c r="AJ60" s="161">
        <v>-2092</v>
      </c>
      <c r="AK60" s="161">
        <v>751</v>
      </c>
      <c r="AL60" s="150"/>
      <c r="AM60" s="161">
        <v>-387</v>
      </c>
      <c r="AN60" s="161">
        <v>-969</v>
      </c>
      <c r="AO60" s="160">
        <v>704</v>
      </c>
      <c r="AQ60" s="160"/>
      <c r="AR60" s="117"/>
      <c r="AS60" s="117"/>
      <c r="AT60" s="99">
        <v>22.5</v>
      </c>
      <c r="AU60" s="130"/>
      <c r="AV60" s="262">
        <v>157</v>
      </c>
      <c r="AW60" s="267">
        <v>1739</v>
      </c>
      <c r="AX60" s="124"/>
      <c r="AY60" s="255">
        <v>0.9170454545454545</v>
      </c>
      <c r="AZ60" s="259">
        <v>44.879251779814808</v>
      </c>
      <c r="BA60" s="160">
        <v>-3651.5238642898216</v>
      </c>
      <c r="BB60" s="130"/>
      <c r="BC60" s="130"/>
      <c r="BD60" s="130"/>
      <c r="BE60" s="128">
        <v>16.068069095262526</v>
      </c>
      <c r="BF60" s="160">
        <v>964.34732604945373</v>
      </c>
      <c r="BG60" s="129">
        <v>10.976070242482145</v>
      </c>
      <c r="BH60" s="131">
        <v>12640.023001725129</v>
      </c>
      <c r="BI60" s="124"/>
      <c r="BJ60" s="117">
        <v>9675</v>
      </c>
      <c r="BK60" s="117">
        <v>20707</v>
      </c>
      <c r="BL60" s="161">
        <v>0</v>
      </c>
      <c r="BM60" s="161">
        <v>-11032</v>
      </c>
      <c r="BN60" s="117">
        <v>6130</v>
      </c>
      <c r="BO60" s="117">
        <v>5686</v>
      </c>
      <c r="BP60" s="136"/>
      <c r="BR60" s="160">
        <v>-41</v>
      </c>
      <c r="BS60" s="160">
        <v>23</v>
      </c>
      <c r="BT60" s="161">
        <v>766</v>
      </c>
      <c r="BU60" s="125">
        <v>565</v>
      </c>
      <c r="BV60" s="160">
        <v>0</v>
      </c>
      <c r="BX60" s="161">
        <v>201</v>
      </c>
      <c r="BY60" s="160">
        <v>0</v>
      </c>
      <c r="BZ60" s="160">
        <v>-14</v>
      </c>
      <c r="CA60" s="160">
        <v>0</v>
      </c>
      <c r="CB60" s="160">
        <v>0</v>
      </c>
      <c r="CC60" s="160">
        <v>187</v>
      </c>
      <c r="CD60" s="160">
        <v>-1813</v>
      </c>
      <c r="CE60" s="116">
        <v>501</v>
      </c>
      <c r="CF60" s="150"/>
      <c r="CG60" s="160">
        <v>-159</v>
      </c>
      <c r="CH60" s="160">
        <v>-839</v>
      </c>
      <c r="CI60" s="159">
        <v>727</v>
      </c>
      <c r="CK60" s="124"/>
      <c r="CL60" s="161"/>
      <c r="CM60" s="124"/>
      <c r="CN60" s="265">
        <v>22.5</v>
      </c>
      <c r="CO60" s="130"/>
      <c r="CP60" s="116">
        <v>145</v>
      </c>
      <c r="CQ60" s="267">
        <v>1707</v>
      </c>
      <c r="CR60" s="124"/>
      <c r="CS60" s="268">
        <v>2.3785714285714286</v>
      </c>
      <c r="CT60" s="269">
        <v>43.032901481964771</v>
      </c>
      <c r="CU60" s="160">
        <v>-3012.8881077914471</v>
      </c>
      <c r="CV60" s="130"/>
      <c r="CW60" s="130"/>
      <c r="CX60" s="130"/>
      <c r="CY60" s="269">
        <v>23.863267294576161</v>
      </c>
      <c r="CZ60" s="125">
        <v>1003.5149384885764</v>
      </c>
      <c r="DA60" s="125">
        <v>29.863160911305346</v>
      </c>
      <c r="DB60" s="273">
        <v>12265.377855887522</v>
      </c>
      <c r="DC60" s="124"/>
      <c r="DD60" s="117">
        <v>9315</v>
      </c>
      <c r="DE60" s="117">
        <v>19817</v>
      </c>
      <c r="DF60" s="117">
        <v>0</v>
      </c>
      <c r="DG60" s="117">
        <v>-10502</v>
      </c>
      <c r="DH60" s="117">
        <v>6066</v>
      </c>
      <c r="DI60" s="117">
        <v>6077</v>
      </c>
      <c r="DJ60" s="136"/>
      <c r="DL60" s="160">
        <v>-37</v>
      </c>
      <c r="DM60" s="160">
        <v>24</v>
      </c>
      <c r="DN60" s="161">
        <v>1628</v>
      </c>
      <c r="DO60" s="116">
        <v>567</v>
      </c>
      <c r="DP60" s="160">
        <v>0</v>
      </c>
      <c r="DR60" s="161">
        <v>1061</v>
      </c>
      <c r="DS60" s="116">
        <v>0</v>
      </c>
      <c r="DT60" s="116">
        <v>0</v>
      </c>
      <c r="DU60" s="116">
        <v>0</v>
      </c>
      <c r="DV60" s="116">
        <v>0</v>
      </c>
      <c r="DW60" s="160">
        <v>1061</v>
      </c>
      <c r="DX60" s="160">
        <v>-739</v>
      </c>
      <c r="DY60" s="116">
        <v>1569</v>
      </c>
      <c r="DZ60" s="150"/>
      <c r="EA60" s="116">
        <v>-760</v>
      </c>
      <c r="EB60" s="116">
        <v>-663</v>
      </c>
      <c r="EC60" s="159">
        <v>1204</v>
      </c>
      <c r="EE60" s="125"/>
      <c r="EF60" s="161"/>
      <c r="EG60" s="124"/>
      <c r="EH60" s="253">
        <v>22.5</v>
      </c>
      <c r="EI60" s="130"/>
      <c r="EJ60" s="125">
        <v>151</v>
      </c>
      <c r="EK60" s="116"/>
      <c r="EL60" s="159"/>
      <c r="EN60" s="116"/>
      <c r="EO60" s="116"/>
      <c r="EP60" s="159"/>
      <c r="EQ60" s="159">
        <v>-649</v>
      </c>
      <c r="ER60" s="116">
        <v>32</v>
      </c>
      <c r="ES60" s="116">
        <v>570</v>
      </c>
      <c r="ET60" s="160">
        <v>-395</v>
      </c>
      <c r="EU60" s="116">
        <v>40</v>
      </c>
      <c r="EV60" s="116">
        <v>581</v>
      </c>
      <c r="EW60" s="160">
        <v>-434</v>
      </c>
      <c r="EX60" s="160">
        <v>5</v>
      </c>
      <c r="EY60" s="160">
        <v>64</v>
      </c>
      <c r="EZ60" s="116">
        <v>249</v>
      </c>
      <c r="FA60" s="116">
        <v>-416</v>
      </c>
      <c r="FB60" s="116">
        <v>991</v>
      </c>
      <c r="FC60" s="160">
        <v>296</v>
      </c>
      <c r="FD60" s="116">
        <v>61</v>
      </c>
      <c r="FE60" s="116">
        <v>202</v>
      </c>
      <c r="FF60" s="3">
        <v>6120</v>
      </c>
      <c r="FG60" s="3">
        <v>4828</v>
      </c>
      <c r="FH60" s="3">
        <v>1292</v>
      </c>
      <c r="FI60" s="3">
        <v>50</v>
      </c>
      <c r="FJ60" s="125">
        <v>6612</v>
      </c>
      <c r="FK60" s="160">
        <v>4600</v>
      </c>
      <c r="FL60" s="125">
        <v>2012</v>
      </c>
      <c r="FM60" s="116">
        <v>124</v>
      </c>
      <c r="FN60" s="125">
        <v>6213</v>
      </c>
      <c r="FO60" s="116">
        <v>3756</v>
      </c>
      <c r="FP60" s="116">
        <v>2457</v>
      </c>
      <c r="FQ60" s="116">
        <v>-760</v>
      </c>
      <c r="FR60" s="153">
        <v>1841</v>
      </c>
      <c r="FS60" s="153">
        <v>1827</v>
      </c>
      <c r="FT60" s="276">
        <v>1795</v>
      </c>
      <c r="FU60" s="3">
        <v>34</v>
      </c>
      <c r="FV60" s="159">
        <v>1027</v>
      </c>
      <c r="FW60" s="170"/>
      <c r="FZ60" s="155"/>
      <c r="GA60" s="2"/>
      <c r="GD60" s="163"/>
      <c r="GE60" s="2"/>
      <c r="GF60" s="2"/>
    </row>
    <row r="61" spans="1:188" ht="14.5" x14ac:dyDescent="0.35">
      <c r="A61" s="72">
        <v>182</v>
      </c>
      <c r="B61" s="70" t="s">
        <v>60</v>
      </c>
      <c r="C61" s="158">
        <v>20607</v>
      </c>
      <c r="D61" s="171"/>
      <c r="E61" s="128">
        <v>1.4065723195010793</v>
      </c>
      <c r="F61" s="128">
        <v>47.075191511038916</v>
      </c>
      <c r="G61" s="129">
        <v>-3112.3889940311547</v>
      </c>
      <c r="H61" s="216"/>
      <c r="I61" s="172"/>
      <c r="J61" s="218"/>
      <c r="K61" s="128">
        <v>50.630721828823027</v>
      </c>
      <c r="L61" s="129">
        <v>903.62498180230023</v>
      </c>
      <c r="M61" s="129">
        <v>31.496517463656968</v>
      </c>
      <c r="N61" s="129">
        <v>10471.732906293977</v>
      </c>
      <c r="O61" s="129"/>
      <c r="P61" s="117">
        <v>66909</v>
      </c>
      <c r="Q61" s="161">
        <v>196655</v>
      </c>
      <c r="R61" s="161">
        <v>-165</v>
      </c>
      <c r="S61" s="161">
        <v>-129911</v>
      </c>
      <c r="T61" s="124">
        <v>84038</v>
      </c>
      <c r="U61" s="124">
        <v>57135</v>
      </c>
      <c r="V61" s="136"/>
      <c r="X61" s="116">
        <v>-722</v>
      </c>
      <c r="Y61" s="116">
        <v>448</v>
      </c>
      <c r="Z61" s="161">
        <v>10988</v>
      </c>
      <c r="AA61" s="116">
        <v>13515</v>
      </c>
      <c r="AB61" s="116">
        <v>2360</v>
      </c>
      <c r="AD61" s="161">
        <v>-167</v>
      </c>
      <c r="AE61" s="117">
        <v>-25</v>
      </c>
      <c r="AF61" s="117">
        <v>-123</v>
      </c>
      <c r="AG61" s="116">
        <v>-29</v>
      </c>
      <c r="AH61" s="116">
        <v>0</v>
      </c>
      <c r="AI61" s="160">
        <v>-344</v>
      </c>
      <c r="AJ61" s="161">
        <v>11343</v>
      </c>
      <c r="AK61" s="161">
        <v>11049</v>
      </c>
      <c r="AL61" s="150"/>
      <c r="AM61" s="161">
        <v>-4151</v>
      </c>
      <c r="AN61" s="161">
        <v>-7598</v>
      </c>
      <c r="AO61" s="160">
        <v>6051</v>
      </c>
      <c r="AQ61" s="160"/>
      <c r="AR61" s="117"/>
      <c r="AS61" s="117"/>
      <c r="AT61" s="99">
        <v>21</v>
      </c>
      <c r="AU61" s="130"/>
      <c r="AV61" s="262">
        <v>129</v>
      </c>
      <c r="AW61" s="267">
        <v>20182</v>
      </c>
      <c r="AX61" s="124"/>
      <c r="AY61" s="255">
        <v>1.4202055218521727</v>
      </c>
      <c r="AZ61" s="259">
        <v>44.632760267430754</v>
      </c>
      <c r="BA61" s="160">
        <v>-3192.6469130908731</v>
      </c>
      <c r="BB61" s="130"/>
      <c r="BC61" s="130"/>
      <c r="BD61" s="130"/>
      <c r="BE61" s="128">
        <v>51.634193292117779</v>
      </c>
      <c r="BF61" s="160">
        <v>642.70141710435041</v>
      </c>
      <c r="BG61" s="129">
        <v>31.134374098148886</v>
      </c>
      <c r="BH61" s="131">
        <v>10816.618769200277</v>
      </c>
      <c r="BI61" s="124"/>
      <c r="BJ61" s="117">
        <v>67520</v>
      </c>
      <c r="BK61" s="117">
        <v>198223</v>
      </c>
      <c r="BL61" s="161">
        <v>189</v>
      </c>
      <c r="BM61" s="161">
        <v>-130514</v>
      </c>
      <c r="BN61" s="117">
        <v>84863</v>
      </c>
      <c r="BO61" s="117">
        <v>57017</v>
      </c>
      <c r="BP61" s="136"/>
      <c r="BR61" s="160">
        <v>-647</v>
      </c>
      <c r="BS61" s="160">
        <v>86</v>
      </c>
      <c r="BT61" s="161">
        <v>10805</v>
      </c>
      <c r="BU61" s="125">
        <v>13054</v>
      </c>
      <c r="BV61" s="160">
        <v>0</v>
      </c>
      <c r="BX61" s="161">
        <v>-2249</v>
      </c>
      <c r="BY61" s="161">
        <v>-37</v>
      </c>
      <c r="BZ61" s="161">
        <v>1</v>
      </c>
      <c r="CA61" s="160">
        <v>21</v>
      </c>
      <c r="CB61" s="160">
        <v>-3</v>
      </c>
      <c r="CC61" s="160">
        <v>-2309</v>
      </c>
      <c r="CD61" s="160">
        <v>8867</v>
      </c>
      <c r="CE61" s="116">
        <v>10393</v>
      </c>
      <c r="CF61" s="150"/>
      <c r="CG61" s="161">
        <v>-858</v>
      </c>
      <c r="CH61" s="160">
        <v>-7411</v>
      </c>
      <c r="CI61" s="159">
        <v>-787</v>
      </c>
      <c r="CK61" s="124"/>
      <c r="CL61" s="161"/>
      <c r="CM61" s="124"/>
      <c r="CN61" s="265">
        <v>21</v>
      </c>
      <c r="CO61" s="130"/>
      <c r="CP61" s="116">
        <v>109</v>
      </c>
      <c r="CQ61" s="267">
        <v>19887</v>
      </c>
      <c r="CR61" s="124"/>
      <c r="CS61" s="268">
        <v>2.4048719550281072</v>
      </c>
      <c r="CT61" s="269">
        <v>40.964881677850222</v>
      </c>
      <c r="CU61" s="160">
        <v>-2780.5098808266707</v>
      </c>
      <c r="CV61" s="130"/>
      <c r="CW61" s="130"/>
      <c r="CX61" s="130"/>
      <c r="CY61" s="269">
        <v>53.326385532463348</v>
      </c>
      <c r="CZ61" s="125">
        <v>1139.5886760195101</v>
      </c>
      <c r="DA61" s="125">
        <v>37.482418777470663</v>
      </c>
      <c r="DB61" s="273">
        <v>11097.199175340675</v>
      </c>
      <c r="DC61" s="124"/>
      <c r="DD61" s="117">
        <v>66519</v>
      </c>
      <c r="DE61" s="117">
        <v>201702</v>
      </c>
      <c r="DF61" s="117">
        <v>74</v>
      </c>
      <c r="DG61" s="117">
        <v>-135109</v>
      </c>
      <c r="DH61" s="117">
        <v>87372</v>
      </c>
      <c r="DI61" s="117">
        <v>66820</v>
      </c>
      <c r="DJ61" s="136"/>
      <c r="DL61" s="160">
        <v>-580</v>
      </c>
      <c r="DM61" s="160">
        <v>153</v>
      </c>
      <c r="DN61" s="161">
        <v>18656</v>
      </c>
      <c r="DO61" s="116">
        <v>13791</v>
      </c>
      <c r="DP61" s="160">
        <v>0</v>
      </c>
      <c r="DR61" s="161">
        <v>4865</v>
      </c>
      <c r="DS61" s="117">
        <v>-114</v>
      </c>
      <c r="DT61" s="117">
        <v>-84</v>
      </c>
      <c r="DU61" s="116">
        <v>70</v>
      </c>
      <c r="DV61" s="116">
        <v>-1</v>
      </c>
      <c r="DW61" s="160">
        <v>4596</v>
      </c>
      <c r="DX61" s="160">
        <v>13651</v>
      </c>
      <c r="DY61" s="116">
        <v>18763</v>
      </c>
      <c r="DZ61" s="150"/>
      <c r="EA61" s="117">
        <v>3601</v>
      </c>
      <c r="EB61" s="116">
        <v>-7410</v>
      </c>
      <c r="EC61" s="159">
        <v>9104</v>
      </c>
      <c r="EE61" s="125"/>
      <c r="EF61" s="161"/>
      <c r="EG61" s="124"/>
      <c r="EH61" s="253">
        <v>21</v>
      </c>
      <c r="EI61" s="130"/>
      <c r="EJ61" s="125">
        <v>160</v>
      </c>
      <c r="EK61" s="116"/>
      <c r="EL61" s="159"/>
      <c r="EN61" s="116"/>
      <c r="EO61" s="116"/>
      <c r="EP61" s="159"/>
      <c r="EQ61" s="159">
        <v>-10644</v>
      </c>
      <c r="ER61" s="116">
        <v>501</v>
      </c>
      <c r="ES61" s="116">
        <v>5145</v>
      </c>
      <c r="ET61" s="160">
        <v>-11848</v>
      </c>
      <c r="EU61" s="116">
        <v>148</v>
      </c>
      <c r="EV61" s="116">
        <v>520</v>
      </c>
      <c r="EW61" s="160">
        <v>-10877</v>
      </c>
      <c r="EX61" s="160">
        <v>143</v>
      </c>
      <c r="EY61" s="160">
        <v>1075</v>
      </c>
      <c r="EZ61" s="116">
        <v>5434</v>
      </c>
      <c r="FA61" s="116">
        <v>-17</v>
      </c>
      <c r="FB61" s="116">
        <v>1180</v>
      </c>
      <c r="FC61" s="160">
        <v>896</v>
      </c>
      <c r="FD61" s="116">
        <v>5320</v>
      </c>
      <c r="FE61" s="116">
        <v>-1322</v>
      </c>
      <c r="FF61" s="3">
        <v>69605</v>
      </c>
      <c r="FG61" s="3">
        <v>62178</v>
      </c>
      <c r="FH61" s="3">
        <v>7427</v>
      </c>
      <c r="FI61" s="3">
        <v>521</v>
      </c>
      <c r="FJ61" s="125">
        <v>64271</v>
      </c>
      <c r="FK61" s="160">
        <v>55463</v>
      </c>
      <c r="FL61" s="125">
        <v>8808</v>
      </c>
      <c r="FM61" s="116">
        <v>438</v>
      </c>
      <c r="FN61" s="125">
        <v>60858</v>
      </c>
      <c r="FO61" s="116">
        <v>53260</v>
      </c>
      <c r="FP61" s="116">
        <v>7598</v>
      </c>
      <c r="FQ61" s="116">
        <v>3601</v>
      </c>
      <c r="FR61" s="153">
        <v>2582</v>
      </c>
      <c r="FS61" s="153">
        <v>2441</v>
      </c>
      <c r="FT61" s="276">
        <v>2213</v>
      </c>
      <c r="FU61" s="3">
        <v>20827</v>
      </c>
      <c r="FV61" s="159">
        <v>19893</v>
      </c>
      <c r="FW61" s="170"/>
      <c r="FZ61" s="155"/>
      <c r="GA61" s="2"/>
      <c r="GD61" s="163"/>
      <c r="GE61" s="2"/>
      <c r="GF61" s="2"/>
    </row>
    <row r="62" spans="1:188" ht="14.5" x14ac:dyDescent="0.35">
      <c r="A62" s="72">
        <v>186</v>
      </c>
      <c r="B62" s="70" t="s">
        <v>61</v>
      </c>
      <c r="C62" s="158">
        <v>43410</v>
      </c>
      <c r="D62" s="171"/>
      <c r="E62" s="128">
        <v>3.1284007962840081</v>
      </c>
      <c r="F62" s="128">
        <v>83.647807792004897</v>
      </c>
      <c r="G62" s="129">
        <v>-8676.2957843814784</v>
      </c>
      <c r="H62" s="216"/>
      <c r="I62" s="172"/>
      <c r="J62" s="218"/>
      <c r="K62" s="128">
        <v>25.262524124207154</v>
      </c>
      <c r="L62" s="129">
        <v>282.72287491361436</v>
      </c>
      <c r="M62" s="129">
        <v>8.1417892272684309</v>
      </c>
      <c r="N62" s="129">
        <v>12674.591108039624</v>
      </c>
      <c r="O62" s="129"/>
      <c r="P62" s="117">
        <v>260125</v>
      </c>
      <c r="Q62" s="161">
        <v>457858</v>
      </c>
      <c r="R62" s="161">
        <v>258</v>
      </c>
      <c r="S62" s="161">
        <v>-197475</v>
      </c>
      <c r="T62" s="124">
        <v>186872</v>
      </c>
      <c r="U62" s="124">
        <v>39476</v>
      </c>
      <c r="V62" s="136"/>
      <c r="X62" s="116">
        <v>-1072</v>
      </c>
      <c r="Y62" s="116">
        <v>-933</v>
      </c>
      <c r="Z62" s="161">
        <v>26868</v>
      </c>
      <c r="AA62" s="116">
        <v>34919</v>
      </c>
      <c r="AB62" s="117">
        <v>0</v>
      </c>
      <c r="AD62" s="161">
        <v>-8051</v>
      </c>
      <c r="AE62" s="116">
        <v>27</v>
      </c>
      <c r="AF62" s="116">
        <v>-14</v>
      </c>
      <c r="AG62" s="116">
        <v>-215</v>
      </c>
      <c r="AH62" s="116">
        <v>-108</v>
      </c>
      <c r="AI62" s="160">
        <v>-8361</v>
      </c>
      <c r="AJ62" s="161">
        <v>29844</v>
      </c>
      <c r="AK62" s="161">
        <v>15149</v>
      </c>
      <c r="AL62" s="150"/>
      <c r="AM62" s="161">
        <v>236</v>
      </c>
      <c r="AN62" s="161">
        <v>-7623</v>
      </c>
      <c r="AO62" s="160">
        <v>-52045</v>
      </c>
      <c r="AQ62" s="160"/>
      <c r="AR62" s="117"/>
      <c r="AS62" s="117"/>
      <c r="AT62" s="99">
        <v>19.75</v>
      </c>
      <c r="AU62" s="130"/>
      <c r="AV62" s="262">
        <v>104</v>
      </c>
      <c r="AW62" s="267">
        <v>43711</v>
      </c>
      <c r="AX62" s="124"/>
      <c r="AY62" s="255">
        <v>0.43912716328066215</v>
      </c>
      <c r="AZ62" s="259">
        <v>101.98360193942705</v>
      </c>
      <c r="BA62" s="160">
        <v>-9963.1671661595483</v>
      </c>
      <c r="BB62" s="130"/>
      <c r="BC62" s="130"/>
      <c r="BD62" s="130"/>
      <c r="BE62" s="128">
        <v>17.488068677771128</v>
      </c>
      <c r="BF62" s="160">
        <v>297.65962801125573</v>
      </c>
      <c r="BG62" s="129">
        <v>8.3832166736898639</v>
      </c>
      <c r="BH62" s="131">
        <v>12269.634645741347</v>
      </c>
      <c r="BI62" s="124"/>
      <c r="BJ62" s="117">
        <v>234340</v>
      </c>
      <c r="BK62" s="117">
        <v>460857</v>
      </c>
      <c r="BL62" s="161">
        <v>-1224</v>
      </c>
      <c r="BM62" s="161">
        <v>-227741</v>
      </c>
      <c r="BN62" s="117">
        <v>192689</v>
      </c>
      <c r="BO62" s="117">
        <v>41563</v>
      </c>
      <c r="BP62" s="136"/>
      <c r="BR62" s="160">
        <v>-2395</v>
      </c>
      <c r="BS62" s="160">
        <v>-855</v>
      </c>
      <c r="BT62" s="161">
        <v>3261</v>
      </c>
      <c r="BU62" s="125">
        <v>33838</v>
      </c>
      <c r="BV62" s="161">
        <v>0</v>
      </c>
      <c r="BX62" s="161">
        <v>-30577</v>
      </c>
      <c r="BY62" s="160">
        <v>15</v>
      </c>
      <c r="BZ62" s="160">
        <v>0</v>
      </c>
      <c r="CA62" s="160">
        <v>167</v>
      </c>
      <c r="CB62" s="160">
        <v>-286</v>
      </c>
      <c r="CC62" s="160">
        <v>-31015</v>
      </c>
      <c r="CD62" s="160">
        <v>-6112</v>
      </c>
      <c r="CE62" s="116">
        <v>-589</v>
      </c>
      <c r="CF62" s="150"/>
      <c r="CG62" s="161">
        <v>-11407</v>
      </c>
      <c r="CH62" s="160">
        <v>-10715</v>
      </c>
      <c r="CI62" s="159">
        <v>-53856</v>
      </c>
      <c r="CK62" s="124"/>
      <c r="CL62" s="161"/>
      <c r="CM62" s="124"/>
      <c r="CN62" s="265">
        <v>19.75</v>
      </c>
      <c r="CO62" s="130"/>
      <c r="CP62" s="116">
        <v>265</v>
      </c>
      <c r="CQ62" s="267">
        <v>44455</v>
      </c>
      <c r="CR62" s="124"/>
      <c r="CS62" s="268">
        <v>238.39240506329114</v>
      </c>
      <c r="CT62" s="269">
        <v>100.5463901327677</v>
      </c>
      <c r="CU62" s="160">
        <v>-10102.733100888539</v>
      </c>
      <c r="CV62" s="130"/>
      <c r="CW62" s="130"/>
      <c r="CX62" s="130"/>
      <c r="CY62" s="269">
        <v>16.577872994057966</v>
      </c>
      <c r="CZ62" s="125">
        <v>861.79282420425147</v>
      </c>
      <c r="DA62" s="125">
        <v>26.658319766045302</v>
      </c>
      <c r="DB62" s="273">
        <v>11799.482622877067</v>
      </c>
      <c r="DC62" s="124"/>
      <c r="DD62" s="117">
        <v>244375</v>
      </c>
      <c r="DE62" s="117">
        <v>471375</v>
      </c>
      <c r="DF62" s="117">
        <v>29</v>
      </c>
      <c r="DG62" s="117">
        <v>-226971</v>
      </c>
      <c r="DH62" s="117">
        <v>200249</v>
      </c>
      <c r="DI62" s="117">
        <v>64536</v>
      </c>
      <c r="DJ62" s="136"/>
      <c r="DL62" s="160">
        <v>-2543</v>
      </c>
      <c r="DM62" s="160">
        <v>-192</v>
      </c>
      <c r="DN62" s="161">
        <v>35079</v>
      </c>
      <c r="DO62" s="116">
        <v>33932</v>
      </c>
      <c r="DP62" s="161">
        <v>0</v>
      </c>
      <c r="DR62" s="161">
        <v>1147</v>
      </c>
      <c r="DS62" s="116">
        <v>-5</v>
      </c>
      <c r="DT62" s="116">
        <v>0</v>
      </c>
      <c r="DU62" s="116">
        <v>131</v>
      </c>
      <c r="DV62" s="116">
        <v>-418</v>
      </c>
      <c r="DW62" s="160">
        <v>593</v>
      </c>
      <c r="DX62" s="160">
        <v>-5518</v>
      </c>
      <c r="DY62" s="116">
        <v>25947</v>
      </c>
      <c r="DZ62" s="150"/>
      <c r="EA62" s="117">
        <v>4863</v>
      </c>
      <c r="EB62" s="116">
        <v>2429</v>
      </c>
      <c r="EC62" s="159">
        <v>-13066</v>
      </c>
      <c r="EE62" s="125"/>
      <c r="EF62" s="161"/>
      <c r="EG62" s="124"/>
      <c r="EH62" s="253">
        <v>19.75</v>
      </c>
      <c r="EI62" s="130"/>
      <c r="EJ62" s="125">
        <v>226</v>
      </c>
      <c r="EK62" s="116"/>
      <c r="EL62" s="159"/>
      <c r="EN62" s="116"/>
      <c r="EO62" s="116"/>
      <c r="EP62" s="159"/>
      <c r="EQ62" s="159">
        <v>-81978</v>
      </c>
      <c r="ER62" s="116">
        <v>1163</v>
      </c>
      <c r="ES62" s="116">
        <v>13621</v>
      </c>
      <c r="ET62" s="160">
        <v>-60894</v>
      </c>
      <c r="EU62" s="116">
        <v>784</v>
      </c>
      <c r="EV62" s="116">
        <v>6843</v>
      </c>
      <c r="EW62" s="160">
        <v>-52405</v>
      </c>
      <c r="EX62" s="160">
        <v>400</v>
      </c>
      <c r="EY62" s="160">
        <v>12992</v>
      </c>
      <c r="EZ62" s="116">
        <v>13025</v>
      </c>
      <c r="FA62" s="116">
        <v>36316</v>
      </c>
      <c r="FB62" s="116">
        <v>188651</v>
      </c>
      <c r="FC62" s="160">
        <v>-119930</v>
      </c>
      <c r="FD62" s="116">
        <v>56362</v>
      </c>
      <c r="FE62" s="116">
        <v>-24126</v>
      </c>
      <c r="FF62" s="3">
        <v>340857</v>
      </c>
      <c r="FG62" s="3">
        <v>210057</v>
      </c>
      <c r="FH62" s="3">
        <v>130800</v>
      </c>
      <c r="FI62" s="3">
        <v>4</v>
      </c>
      <c r="FJ62" s="125">
        <v>399104</v>
      </c>
      <c r="FK62" s="160">
        <v>382054</v>
      </c>
      <c r="FL62" s="125">
        <v>17050</v>
      </c>
      <c r="FM62" s="116">
        <v>4</v>
      </c>
      <c r="FN62" s="125">
        <v>433317</v>
      </c>
      <c r="FO62" s="116">
        <v>414638</v>
      </c>
      <c r="FP62" s="116">
        <v>18679</v>
      </c>
      <c r="FQ62" s="116">
        <v>4863</v>
      </c>
      <c r="FR62" s="153">
        <v>8596</v>
      </c>
      <c r="FS62" s="153">
        <v>8174</v>
      </c>
      <c r="FT62" s="276">
        <v>7549</v>
      </c>
      <c r="FU62" s="3">
        <v>25928</v>
      </c>
      <c r="FV62" s="159">
        <v>26346</v>
      </c>
      <c r="FW62" s="170"/>
      <c r="FZ62" s="155"/>
      <c r="GA62" s="2"/>
      <c r="GD62" s="163"/>
      <c r="GE62" s="2"/>
      <c r="GF62" s="2"/>
    </row>
    <row r="63" spans="1:188" ht="14.5" x14ac:dyDescent="0.35">
      <c r="A63" s="72">
        <v>202</v>
      </c>
      <c r="B63" s="70" t="s">
        <v>62</v>
      </c>
      <c r="C63" s="158">
        <v>33458</v>
      </c>
      <c r="D63" s="171"/>
      <c r="E63" s="128">
        <v>2.8117913832199548</v>
      </c>
      <c r="F63" s="128">
        <v>68.253943439586038</v>
      </c>
      <c r="G63" s="129">
        <v>-4296.252017454719</v>
      </c>
      <c r="H63" s="216"/>
      <c r="I63" s="172"/>
      <c r="J63" s="218"/>
      <c r="K63" s="128">
        <v>36.590728833243631</v>
      </c>
      <c r="L63" s="129">
        <v>512.52316336899992</v>
      </c>
      <c r="M63" s="129">
        <v>22.832555713227812</v>
      </c>
      <c r="N63" s="129">
        <v>8193.1675533504676</v>
      </c>
      <c r="O63" s="129"/>
      <c r="P63" s="117">
        <v>83798</v>
      </c>
      <c r="Q63" s="161">
        <v>246041</v>
      </c>
      <c r="R63" s="161">
        <v>6</v>
      </c>
      <c r="S63" s="161">
        <v>-162237</v>
      </c>
      <c r="T63" s="124">
        <v>139346</v>
      </c>
      <c r="U63" s="124">
        <v>32724</v>
      </c>
      <c r="V63" s="136"/>
      <c r="X63" s="116">
        <v>-1385</v>
      </c>
      <c r="Y63" s="116">
        <v>861</v>
      </c>
      <c r="Z63" s="161">
        <v>9309</v>
      </c>
      <c r="AA63" s="116">
        <v>13062</v>
      </c>
      <c r="AB63" s="116">
        <v>0</v>
      </c>
      <c r="AD63" s="161">
        <v>-3753</v>
      </c>
      <c r="AE63" s="116">
        <v>3</v>
      </c>
      <c r="AF63" s="116">
        <v>0</v>
      </c>
      <c r="AG63" s="116">
        <v>-1</v>
      </c>
      <c r="AH63" s="116">
        <v>0</v>
      </c>
      <c r="AI63" s="160">
        <v>-3751</v>
      </c>
      <c r="AJ63" s="161">
        <v>25166</v>
      </c>
      <c r="AK63" s="161">
        <v>6898</v>
      </c>
      <c r="AL63" s="150"/>
      <c r="AM63" s="161">
        <v>-1872</v>
      </c>
      <c r="AN63" s="161">
        <v>-2118</v>
      </c>
      <c r="AO63" s="160">
        <v>-12885</v>
      </c>
      <c r="AQ63" s="160"/>
      <c r="AR63" s="117"/>
      <c r="AS63" s="117"/>
      <c r="AT63" s="99">
        <v>19.75</v>
      </c>
      <c r="AU63" s="130"/>
      <c r="AV63" s="262">
        <v>229</v>
      </c>
      <c r="AW63" s="267">
        <v>33937</v>
      </c>
      <c r="AX63" s="124"/>
      <c r="AY63" s="255">
        <v>1.5822940453188126</v>
      </c>
      <c r="AZ63" s="259">
        <v>71.511023764344444</v>
      </c>
      <c r="BA63" s="160">
        <v>-4500.3683295518167</v>
      </c>
      <c r="BB63" s="130"/>
      <c r="BC63" s="130"/>
      <c r="BD63" s="130"/>
      <c r="BE63" s="128">
        <v>32.601259561661394</v>
      </c>
      <c r="BF63" s="160">
        <v>697.43937295577098</v>
      </c>
      <c r="BG63" s="129">
        <v>22.206682206682206</v>
      </c>
      <c r="BH63" s="131">
        <v>8305.1831334531635</v>
      </c>
      <c r="BI63" s="124"/>
      <c r="BJ63" s="117">
        <v>92043</v>
      </c>
      <c r="BK63" s="117">
        <v>258564</v>
      </c>
      <c r="BL63" s="161">
        <v>43</v>
      </c>
      <c r="BM63" s="161">
        <v>-166478</v>
      </c>
      <c r="BN63" s="117">
        <v>145290</v>
      </c>
      <c r="BO63" s="117">
        <v>28275</v>
      </c>
      <c r="BP63" s="136"/>
      <c r="BR63" s="160">
        <v>-2736</v>
      </c>
      <c r="BS63" s="160">
        <v>1770</v>
      </c>
      <c r="BT63" s="161">
        <v>6121</v>
      </c>
      <c r="BU63" s="125">
        <v>16111</v>
      </c>
      <c r="BV63" s="160">
        <v>0</v>
      </c>
      <c r="BX63" s="161">
        <v>-9990</v>
      </c>
      <c r="BY63" s="160">
        <v>12</v>
      </c>
      <c r="BZ63" s="161">
        <v>0</v>
      </c>
      <c r="CA63" s="160">
        <v>0</v>
      </c>
      <c r="CB63" s="160">
        <v>-4</v>
      </c>
      <c r="CC63" s="160">
        <v>-9982</v>
      </c>
      <c r="CD63" s="160">
        <v>15092</v>
      </c>
      <c r="CE63" s="116">
        <v>2080</v>
      </c>
      <c r="CF63" s="150"/>
      <c r="CG63" s="161">
        <v>207</v>
      </c>
      <c r="CH63" s="160">
        <v>-2806</v>
      </c>
      <c r="CI63" s="159">
        <v>-10509</v>
      </c>
      <c r="CK63" s="124"/>
      <c r="CL63" s="161"/>
      <c r="CM63" s="124"/>
      <c r="CN63" s="265">
        <v>19.75</v>
      </c>
      <c r="CO63" s="130"/>
      <c r="CP63" s="116">
        <v>242</v>
      </c>
      <c r="CQ63" s="267">
        <v>34667</v>
      </c>
      <c r="CR63" s="124"/>
      <c r="CS63" s="268">
        <v>3.3947959318451986</v>
      </c>
      <c r="CT63" s="269">
        <v>68.584206789109444</v>
      </c>
      <c r="CU63" s="160">
        <v>-4264.9782213632561</v>
      </c>
      <c r="CV63" s="130"/>
      <c r="CW63" s="130"/>
      <c r="CX63" s="130"/>
      <c r="CY63" s="269">
        <v>34.17490560247635</v>
      </c>
      <c r="CZ63" s="125">
        <v>868.05896097152913</v>
      </c>
      <c r="DA63" s="125">
        <v>38.233085847352321</v>
      </c>
      <c r="DB63" s="273">
        <v>8287.1030086249175</v>
      </c>
      <c r="DC63" s="124"/>
      <c r="DD63" s="117">
        <v>84427</v>
      </c>
      <c r="DE63" s="117">
        <v>258343</v>
      </c>
      <c r="DF63" s="117">
        <v>54</v>
      </c>
      <c r="DG63" s="117">
        <v>-173862</v>
      </c>
      <c r="DH63" s="117">
        <v>150610</v>
      </c>
      <c r="DI63" s="117">
        <v>48034</v>
      </c>
      <c r="DJ63" s="136"/>
      <c r="DL63" s="160">
        <v>-2436</v>
      </c>
      <c r="DM63" s="160">
        <v>786</v>
      </c>
      <c r="DN63" s="161">
        <v>23132</v>
      </c>
      <c r="DO63" s="116">
        <v>13924</v>
      </c>
      <c r="DP63" s="160">
        <v>0</v>
      </c>
      <c r="DR63" s="161">
        <v>9208</v>
      </c>
      <c r="DS63" s="116">
        <v>-2</v>
      </c>
      <c r="DT63" s="117">
        <v>0</v>
      </c>
      <c r="DU63" s="116">
        <v>0</v>
      </c>
      <c r="DV63" s="116">
        <v>-114</v>
      </c>
      <c r="DW63" s="160">
        <v>9092</v>
      </c>
      <c r="DX63" s="160">
        <v>24681</v>
      </c>
      <c r="DY63" s="116">
        <v>20413</v>
      </c>
      <c r="DZ63" s="150"/>
      <c r="EA63" s="117">
        <v>-2654</v>
      </c>
      <c r="EB63" s="116">
        <v>-5001</v>
      </c>
      <c r="EC63" s="159">
        <v>2982</v>
      </c>
      <c r="EE63" s="125"/>
      <c r="EF63" s="161"/>
      <c r="EG63" s="124"/>
      <c r="EH63" s="253">
        <v>19.75</v>
      </c>
      <c r="EI63" s="130"/>
      <c r="EJ63" s="125">
        <v>261</v>
      </c>
      <c r="EK63" s="116"/>
      <c r="EL63" s="159"/>
      <c r="EN63" s="116"/>
      <c r="EO63" s="116"/>
      <c r="EP63" s="159"/>
      <c r="EQ63" s="159">
        <v>-24077</v>
      </c>
      <c r="ER63" s="116">
        <v>179</v>
      </c>
      <c r="ES63" s="116">
        <v>4115</v>
      </c>
      <c r="ET63" s="160">
        <v>-17570</v>
      </c>
      <c r="EU63" s="116">
        <v>27</v>
      </c>
      <c r="EV63" s="116">
        <v>4954</v>
      </c>
      <c r="EW63" s="160">
        <v>-21336</v>
      </c>
      <c r="EX63" s="160">
        <v>239</v>
      </c>
      <c r="EY63" s="160">
        <v>3666</v>
      </c>
      <c r="EZ63" s="116">
        <v>3300</v>
      </c>
      <c r="FA63" s="116">
        <v>1963</v>
      </c>
      <c r="FB63" s="116">
        <v>50081</v>
      </c>
      <c r="FC63" s="160">
        <v>-35461</v>
      </c>
      <c r="FD63" s="116">
        <v>20055</v>
      </c>
      <c r="FE63" s="116">
        <v>-13986</v>
      </c>
      <c r="FF63" s="3">
        <v>121676</v>
      </c>
      <c r="FG63" s="3">
        <v>47993</v>
      </c>
      <c r="FH63" s="3">
        <v>73683</v>
      </c>
      <c r="FI63" s="3">
        <v>1620</v>
      </c>
      <c r="FJ63" s="125">
        <v>133537</v>
      </c>
      <c r="FK63" s="160">
        <v>94636</v>
      </c>
      <c r="FL63" s="125">
        <v>38901</v>
      </c>
      <c r="FM63" s="116">
        <v>1620</v>
      </c>
      <c r="FN63" s="125">
        <v>134632</v>
      </c>
      <c r="FO63" s="116">
        <v>109653</v>
      </c>
      <c r="FP63" s="116">
        <v>24979</v>
      </c>
      <c r="FQ63" s="116">
        <v>-2654</v>
      </c>
      <c r="FR63" s="153">
        <v>23254</v>
      </c>
      <c r="FS63" s="153">
        <v>22211</v>
      </c>
      <c r="FT63" s="276">
        <v>24189</v>
      </c>
      <c r="FU63" s="3">
        <v>9925</v>
      </c>
      <c r="FV63" s="159">
        <v>9872</v>
      </c>
      <c r="FW63" s="170"/>
      <c r="FZ63" s="155"/>
      <c r="GA63" s="2"/>
      <c r="GD63" s="163"/>
      <c r="GE63" s="2"/>
      <c r="GF63" s="2"/>
    </row>
    <row r="64" spans="1:188" ht="14.5" x14ac:dyDescent="0.35">
      <c r="A64" s="72">
        <v>204</v>
      </c>
      <c r="B64" s="70" t="s">
        <v>63</v>
      </c>
      <c r="C64" s="158">
        <v>2990</v>
      </c>
      <c r="D64" s="171"/>
      <c r="E64" s="128">
        <v>0.80337443218689164</v>
      </c>
      <c r="F64" s="128">
        <v>55.776622814141085</v>
      </c>
      <c r="G64" s="129">
        <v>-5632.1070234113713</v>
      </c>
      <c r="H64" s="216"/>
      <c r="I64" s="172"/>
      <c r="J64" s="218"/>
      <c r="K64" s="128">
        <v>29.137483787289234</v>
      </c>
      <c r="L64" s="129">
        <v>764.54849498327758</v>
      </c>
      <c r="M64" s="129">
        <v>21.486068908688264</v>
      </c>
      <c r="N64" s="129">
        <v>12987.959866220735</v>
      </c>
      <c r="O64" s="129"/>
      <c r="P64" s="117">
        <v>14264</v>
      </c>
      <c r="Q64" s="161">
        <v>35986</v>
      </c>
      <c r="R64" s="161">
        <v>89</v>
      </c>
      <c r="S64" s="161">
        <v>-21633</v>
      </c>
      <c r="T64" s="124">
        <v>9191</v>
      </c>
      <c r="U64" s="124">
        <v>13487</v>
      </c>
      <c r="V64" s="136"/>
      <c r="X64" s="116">
        <v>-286</v>
      </c>
      <c r="Y64" s="116">
        <v>189</v>
      </c>
      <c r="Z64" s="161">
        <v>948</v>
      </c>
      <c r="AA64" s="116">
        <v>1508</v>
      </c>
      <c r="AB64" s="116">
        <v>-50</v>
      </c>
      <c r="AD64" s="161">
        <v>-610</v>
      </c>
      <c r="AE64" s="117">
        <v>-2</v>
      </c>
      <c r="AF64" s="117">
        <v>4</v>
      </c>
      <c r="AG64" s="116">
        <v>-1</v>
      </c>
      <c r="AH64" s="116">
        <v>-1</v>
      </c>
      <c r="AI64" s="160">
        <v>-610</v>
      </c>
      <c r="AJ64" s="161">
        <v>35</v>
      </c>
      <c r="AK64" s="161">
        <v>993</v>
      </c>
      <c r="AL64" s="150"/>
      <c r="AM64" s="161">
        <v>-191</v>
      </c>
      <c r="AN64" s="161">
        <v>-1251</v>
      </c>
      <c r="AO64" s="160">
        <v>995</v>
      </c>
      <c r="AQ64" s="160"/>
      <c r="AR64" s="117"/>
      <c r="AS64" s="117"/>
      <c r="AT64" s="99">
        <v>21.75</v>
      </c>
      <c r="AU64" s="130"/>
      <c r="AV64" s="262">
        <v>208</v>
      </c>
      <c r="AW64" s="267">
        <v>2893</v>
      </c>
      <c r="AX64" s="124"/>
      <c r="AY64" s="255">
        <v>1.0155038759689923</v>
      </c>
      <c r="AZ64" s="259">
        <v>55.862502390906357</v>
      </c>
      <c r="BA64" s="160">
        <v>-5530.5910819218798</v>
      </c>
      <c r="BB64" s="130"/>
      <c r="BC64" s="130"/>
      <c r="BD64" s="130"/>
      <c r="BE64" s="128">
        <v>29.274934383202101</v>
      </c>
      <c r="BF64" s="160">
        <v>762.18458347735918</v>
      </c>
      <c r="BG64" s="129">
        <v>21.651097617935545</v>
      </c>
      <c r="BH64" s="131">
        <v>13321.11994469409</v>
      </c>
      <c r="BI64" s="124"/>
      <c r="BJ64" s="117">
        <v>14061</v>
      </c>
      <c r="BK64" s="117">
        <v>35004</v>
      </c>
      <c r="BL64" s="161">
        <v>46</v>
      </c>
      <c r="BM64" s="161">
        <v>-20897</v>
      </c>
      <c r="BN64" s="117">
        <v>9415</v>
      </c>
      <c r="BO64" s="117">
        <v>13121</v>
      </c>
      <c r="BP64" s="136"/>
      <c r="BR64" s="160">
        <v>-229</v>
      </c>
      <c r="BS64" s="160">
        <v>187</v>
      </c>
      <c r="BT64" s="161">
        <v>1597</v>
      </c>
      <c r="BU64" s="125">
        <v>1746</v>
      </c>
      <c r="BV64" s="160">
        <v>0</v>
      </c>
      <c r="BW64" s="117"/>
      <c r="BX64" s="161">
        <v>-149</v>
      </c>
      <c r="BY64" s="161">
        <v>-14</v>
      </c>
      <c r="BZ64" s="160">
        <v>3</v>
      </c>
      <c r="CA64" s="160">
        <v>5</v>
      </c>
      <c r="CB64" s="160">
        <v>-3</v>
      </c>
      <c r="CC64" s="160">
        <v>-168</v>
      </c>
      <c r="CD64" s="160">
        <v>-104</v>
      </c>
      <c r="CE64" s="116">
        <v>1320</v>
      </c>
      <c r="CF64" s="150"/>
      <c r="CG64" s="161">
        <v>-761</v>
      </c>
      <c r="CH64" s="160">
        <v>-1569</v>
      </c>
      <c r="CI64" s="159">
        <v>350</v>
      </c>
      <c r="CK64" s="124"/>
      <c r="CL64" s="161"/>
      <c r="CM64" s="124"/>
      <c r="CN64" s="265">
        <v>22</v>
      </c>
      <c r="CO64" s="130"/>
      <c r="CP64" s="116">
        <v>103</v>
      </c>
      <c r="CQ64" s="267">
        <v>2807</v>
      </c>
      <c r="CR64" s="124"/>
      <c r="CS64" s="268">
        <v>2.7532467532467533</v>
      </c>
      <c r="CT64" s="269">
        <v>55.84203741219185</v>
      </c>
      <c r="CU64" s="160">
        <v>-5318.845742785893</v>
      </c>
      <c r="CV64" s="130"/>
      <c r="CW64" s="130"/>
      <c r="CX64" s="130"/>
      <c r="CY64" s="269">
        <v>32.253866408401684</v>
      </c>
      <c r="CZ64" s="125">
        <v>1634.4852155325971</v>
      </c>
      <c r="DA64" s="125">
        <v>43.441334405561754</v>
      </c>
      <c r="DB64" s="273">
        <v>13733.167082294263</v>
      </c>
      <c r="DC64" s="124"/>
      <c r="DD64" s="117">
        <v>14331</v>
      </c>
      <c r="DE64" s="117">
        <v>34698</v>
      </c>
      <c r="DF64" s="117">
        <v>120</v>
      </c>
      <c r="DG64" s="117">
        <v>-20247</v>
      </c>
      <c r="DH64" s="117">
        <v>9806</v>
      </c>
      <c r="DI64" s="117">
        <v>13872</v>
      </c>
      <c r="DJ64" s="136"/>
      <c r="DL64" s="160">
        <v>-210</v>
      </c>
      <c r="DM64" s="160">
        <v>166</v>
      </c>
      <c r="DN64" s="161">
        <v>3387</v>
      </c>
      <c r="DO64" s="116">
        <v>1653</v>
      </c>
      <c r="DP64" s="160">
        <v>10</v>
      </c>
      <c r="DQ64" s="117"/>
      <c r="DR64" s="161">
        <v>1744</v>
      </c>
      <c r="DS64" s="117">
        <v>-6</v>
      </c>
      <c r="DT64" s="116">
        <v>2</v>
      </c>
      <c r="DU64" s="116">
        <v>3</v>
      </c>
      <c r="DV64" s="116">
        <v>-3</v>
      </c>
      <c r="DW64" s="160">
        <v>1734</v>
      </c>
      <c r="DX64" s="160">
        <v>1625</v>
      </c>
      <c r="DY64" s="116">
        <v>3121</v>
      </c>
      <c r="DZ64" s="150"/>
      <c r="EA64" s="117">
        <v>533</v>
      </c>
      <c r="EB64" s="116">
        <v>-1092</v>
      </c>
      <c r="EC64" s="159">
        <v>1399</v>
      </c>
      <c r="EE64" s="125"/>
      <c r="EF64" s="161"/>
      <c r="EG64" s="124"/>
      <c r="EH64" s="253">
        <v>22</v>
      </c>
      <c r="EI64" s="130"/>
      <c r="EJ64" s="125">
        <v>72</v>
      </c>
      <c r="EK64" s="116"/>
      <c r="EL64" s="159"/>
      <c r="EN64" s="116"/>
      <c r="EO64" s="116"/>
      <c r="EP64" s="159"/>
      <c r="EQ64" s="159">
        <v>-1276</v>
      </c>
      <c r="ER64" s="116">
        <v>75</v>
      </c>
      <c r="ES64" s="116">
        <v>1203</v>
      </c>
      <c r="ET64" s="160">
        <v>-1724</v>
      </c>
      <c r="EU64" s="116">
        <v>19</v>
      </c>
      <c r="EV64" s="116">
        <v>735</v>
      </c>
      <c r="EW64" s="160">
        <v>-2524</v>
      </c>
      <c r="EX64" s="160">
        <v>11</v>
      </c>
      <c r="EY64" s="160">
        <v>791</v>
      </c>
      <c r="EZ64" s="116">
        <v>843</v>
      </c>
      <c r="FA64" s="116">
        <v>6</v>
      </c>
      <c r="FB64" s="116">
        <v>778</v>
      </c>
      <c r="FC64" s="160">
        <v>888</v>
      </c>
      <c r="FD64" s="116">
        <v>961</v>
      </c>
      <c r="FE64" s="116">
        <v>23</v>
      </c>
      <c r="FF64" s="3">
        <v>16584</v>
      </c>
      <c r="FG64" s="3">
        <v>14825</v>
      </c>
      <c r="FH64" s="3">
        <v>1759</v>
      </c>
      <c r="FI64" s="3">
        <v>0</v>
      </c>
      <c r="FJ64" s="125">
        <v>16683</v>
      </c>
      <c r="FK64" s="160">
        <v>14062</v>
      </c>
      <c r="FL64" s="125">
        <v>2621</v>
      </c>
      <c r="FM64" s="116">
        <v>0</v>
      </c>
      <c r="FN64" s="125">
        <v>16577</v>
      </c>
      <c r="FO64" s="116">
        <v>13911</v>
      </c>
      <c r="FP64" s="116">
        <v>2666</v>
      </c>
      <c r="FQ64" s="116">
        <v>533</v>
      </c>
      <c r="FR64" s="153">
        <v>84</v>
      </c>
      <c r="FS64" s="153">
        <v>522</v>
      </c>
      <c r="FT64" s="276">
        <v>517</v>
      </c>
      <c r="FU64" s="3">
        <v>950</v>
      </c>
      <c r="FV64" s="159">
        <v>901</v>
      </c>
      <c r="FW64" s="170"/>
      <c r="FZ64" s="155"/>
      <c r="GA64" s="2"/>
      <c r="GD64" s="163"/>
      <c r="GE64" s="2"/>
      <c r="GF64" s="2"/>
    </row>
    <row r="65" spans="1:188" ht="14.5" x14ac:dyDescent="0.35">
      <c r="A65" s="72">
        <v>205</v>
      </c>
      <c r="B65" s="70" t="s">
        <v>64</v>
      </c>
      <c r="C65" s="158">
        <v>36973</v>
      </c>
      <c r="D65" s="171"/>
      <c r="E65" s="128">
        <v>1.3945052971808225</v>
      </c>
      <c r="F65" s="128">
        <v>101.4902332989685</v>
      </c>
      <c r="G65" s="129">
        <v>-12825.954074594974</v>
      </c>
      <c r="H65" s="216"/>
      <c r="I65" s="172"/>
      <c r="J65" s="218"/>
      <c r="K65" s="128">
        <v>27.757751795810417</v>
      </c>
      <c r="L65" s="129">
        <v>703.89202931869204</v>
      </c>
      <c r="M65" s="129">
        <v>14.787484277121186</v>
      </c>
      <c r="N65" s="129">
        <v>17374.191977929841</v>
      </c>
      <c r="O65" s="129"/>
      <c r="P65" s="117">
        <v>298911</v>
      </c>
      <c r="Q65" s="161">
        <v>514215</v>
      </c>
      <c r="R65" s="161">
        <v>791</v>
      </c>
      <c r="S65" s="161">
        <v>-214513</v>
      </c>
      <c r="T65" s="124">
        <v>134861</v>
      </c>
      <c r="U65" s="124">
        <v>116209</v>
      </c>
      <c r="V65" s="136"/>
      <c r="X65" s="116">
        <v>-2174</v>
      </c>
      <c r="Y65" s="116">
        <v>-5684</v>
      </c>
      <c r="Z65" s="161">
        <v>28699</v>
      </c>
      <c r="AA65" s="116">
        <v>37698</v>
      </c>
      <c r="AB65" s="117">
        <v>0</v>
      </c>
      <c r="AD65" s="161">
        <v>-8999</v>
      </c>
      <c r="AE65" s="117">
        <v>-225</v>
      </c>
      <c r="AF65" s="117">
        <v>-286</v>
      </c>
      <c r="AG65" s="116">
        <v>-780</v>
      </c>
      <c r="AH65" s="117">
        <v>-493</v>
      </c>
      <c r="AI65" s="160">
        <v>-10783</v>
      </c>
      <c r="AJ65" s="161">
        <v>72348</v>
      </c>
      <c r="AK65" s="161">
        <v>28993</v>
      </c>
      <c r="AL65" s="150"/>
      <c r="AM65" s="161">
        <v>-14121</v>
      </c>
      <c r="AN65" s="161">
        <v>-19911</v>
      </c>
      <c r="AO65" s="160">
        <v>-36591</v>
      </c>
      <c r="AQ65" s="160"/>
      <c r="AR65" s="117"/>
      <c r="AS65" s="117"/>
      <c r="AT65" s="99">
        <v>21</v>
      </c>
      <c r="AU65" s="130"/>
      <c r="AV65" s="262">
        <v>55</v>
      </c>
      <c r="AW65" s="267">
        <v>36709</v>
      </c>
      <c r="AX65" s="124"/>
      <c r="AY65" s="256">
        <v>0.11140814826557524</v>
      </c>
      <c r="AZ65" s="259">
        <v>138.3197328330418</v>
      </c>
      <c r="BA65" s="160">
        <v>-12381.62303522297</v>
      </c>
      <c r="BB65" s="130"/>
      <c r="BC65" s="130"/>
      <c r="BD65" s="130"/>
      <c r="BE65" s="128">
        <v>26.081827908335491</v>
      </c>
      <c r="BF65" s="160">
        <v>6940.8319485684715</v>
      </c>
      <c r="BG65" s="129">
        <v>12.234219301194297</v>
      </c>
      <c r="BH65" s="131">
        <v>21151.189081696586</v>
      </c>
      <c r="BI65" s="124"/>
      <c r="BJ65" s="117">
        <v>312784</v>
      </c>
      <c r="BK65" s="117">
        <v>537316</v>
      </c>
      <c r="BL65" s="161">
        <v>398</v>
      </c>
      <c r="BM65" s="161">
        <v>-224134</v>
      </c>
      <c r="BN65" s="117">
        <v>137646</v>
      </c>
      <c r="BO65" s="117">
        <v>116706</v>
      </c>
      <c r="BP65" s="136"/>
      <c r="BR65" s="160">
        <v>-2369</v>
      </c>
      <c r="BS65" s="160">
        <v>-14932</v>
      </c>
      <c r="BT65" s="161">
        <v>12917</v>
      </c>
      <c r="BU65" s="125">
        <v>45208</v>
      </c>
      <c r="BV65" s="161">
        <v>115597</v>
      </c>
      <c r="BW65" s="117"/>
      <c r="BX65" s="161">
        <v>83306</v>
      </c>
      <c r="BY65" s="161">
        <v>2428</v>
      </c>
      <c r="BZ65" s="160">
        <v>125</v>
      </c>
      <c r="CA65" s="161">
        <v>672</v>
      </c>
      <c r="CB65" s="161">
        <v>-1290</v>
      </c>
      <c r="CC65" s="160">
        <v>83897</v>
      </c>
      <c r="CD65" s="160">
        <v>131446</v>
      </c>
      <c r="CE65" s="116">
        <v>16942</v>
      </c>
      <c r="CF65" s="150"/>
      <c r="CG65" s="161">
        <v>-17222</v>
      </c>
      <c r="CH65" s="160">
        <v>-136234</v>
      </c>
      <c r="CI65" s="159">
        <v>70469</v>
      </c>
      <c r="CK65" s="124"/>
      <c r="CL65" s="161"/>
      <c r="CM65" s="124"/>
      <c r="CN65" s="265">
        <v>21</v>
      </c>
      <c r="CO65" s="130"/>
      <c r="CP65" s="116">
        <v>183</v>
      </c>
      <c r="CQ65" s="267">
        <v>36567</v>
      </c>
      <c r="CR65" s="124"/>
      <c r="CS65" s="270">
        <v>0.88249976888231485</v>
      </c>
      <c r="CT65" s="269">
        <v>139.30840333112087</v>
      </c>
      <c r="CU65" s="160">
        <v>-15041.075286460471</v>
      </c>
      <c r="CV65" s="130"/>
      <c r="CW65" s="130"/>
      <c r="CX65" s="130"/>
      <c r="CY65" s="269">
        <v>23.056544386567662</v>
      </c>
      <c r="CZ65" s="125">
        <v>6645.6367763283833</v>
      </c>
      <c r="DA65" s="125">
        <v>117.84112528231698</v>
      </c>
      <c r="DB65" s="273">
        <v>20584.13323488391</v>
      </c>
      <c r="DC65" s="124"/>
      <c r="DD65" s="117">
        <v>333340</v>
      </c>
      <c r="DE65" s="117">
        <v>565516</v>
      </c>
      <c r="DF65" s="117">
        <v>229</v>
      </c>
      <c r="DG65" s="117">
        <v>-231947</v>
      </c>
      <c r="DH65" s="117">
        <v>140388</v>
      </c>
      <c r="DI65" s="117">
        <v>137958</v>
      </c>
      <c r="DJ65" s="136"/>
      <c r="DL65" s="160">
        <v>-2378</v>
      </c>
      <c r="DM65" s="160">
        <v>-8682</v>
      </c>
      <c r="DN65" s="161">
        <v>35339</v>
      </c>
      <c r="DO65" s="116">
        <v>48046</v>
      </c>
      <c r="DP65" s="161">
        <v>0</v>
      </c>
      <c r="DQ65" s="117"/>
      <c r="DR65" s="161">
        <v>-12707</v>
      </c>
      <c r="DS65" s="117">
        <v>-57</v>
      </c>
      <c r="DT65" s="116">
        <v>19</v>
      </c>
      <c r="DU65" s="117">
        <v>575</v>
      </c>
      <c r="DV65" s="117">
        <v>-3596</v>
      </c>
      <c r="DW65" s="160">
        <v>-16916</v>
      </c>
      <c r="DX65" s="160">
        <v>108435</v>
      </c>
      <c r="DY65" s="116">
        <v>32965</v>
      </c>
      <c r="DZ65" s="150"/>
      <c r="EA65" s="117">
        <v>16034</v>
      </c>
      <c r="EB65" s="116">
        <v>-40423</v>
      </c>
      <c r="EC65" s="159">
        <v>-87038</v>
      </c>
      <c r="EE65" s="125"/>
      <c r="EF65" s="161"/>
      <c r="EG65" s="124"/>
      <c r="EH65" s="253">
        <v>21</v>
      </c>
      <c r="EI65" s="130"/>
      <c r="EJ65" s="125">
        <v>142</v>
      </c>
      <c r="EK65" s="116"/>
      <c r="EL65" s="159"/>
      <c r="EN65" s="116"/>
      <c r="EO65" s="116"/>
      <c r="EP65" s="159"/>
      <c r="EQ65" s="159">
        <v>-99694</v>
      </c>
      <c r="ER65" s="116">
        <v>1480</v>
      </c>
      <c r="ES65" s="116">
        <v>32630</v>
      </c>
      <c r="ET65" s="160">
        <v>-84951</v>
      </c>
      <c r="EU65" s="116">
        <v>850</v>
      </c>
      <c r="EV65" s="116">
        <v>137628</v>
      </c>
      <c r="EW65" s="160">
        <v>-132204</v>
      </c>
      <c r="EX65" s="160">
        <v>491</v>
      </c>
      <c r="EY65" s="160">
        <v>11710</v>
      </c>
      <c r="EZ65" s="116">
        <v>58008</v>
      </c>
      <c r="FA65" s="116">
        <v>3684</v>
      </c>
      <c r="FB65" s="116">
        <v>372507</v>
      </c>
      <c r="FC65" s="160">
        <v>-20867</v>
      </c>
      <c r="FD65" s="116">
        <v>117743</v>
      </c>
      <c r="FE65" s="116">
        <v>-12619</v>
      </c>
      <c r="FF65" s="3">
        <v>383759</v>
      </c>
      <c r="FG65" s="3">
        <v>310035</v>
      </c>
      <c r="FH65" s="3">
        <v>73724</v>
      </c>
      <c r="FI65" s="3">
        <v>198</v>
      </c>
      <c r="FJ65" s="125">
        <v>599164</v>
      </c>
      <c r="FK65" s="160">
        <v>541008</v>
      </c>
      <c r="FL65" s="125">
        <v>58156</v>
      </c>
      <c r="FM65" s="116">
        <v>0</v>
      </c>
      <c r="FN65" s="125">
        <v>663865</v>
      </c>
      <c r="FO65" s="116">
        <v>623029</v>
      </c>
      <c r="FP65" s="116">
        <v>40836</v>
      </c>
      <c r="FQ65" s="116">
        <v>16034</v>
      </c>
      <c r="FR65" s="153">
        <v>1503</v>
      </c>
      <c r="FS65" s="153">
        <v>1598</v>
      </c>
      <c r="FT65" s="276">
        <v>545</v>
      </c>
      <c r="FU65" s="3">
        <v>14657</v>
      </c>
      <c r="FV65" s="159">
        <v>16736</v>
      </c>
      <c r="FW65" s="170"/>
      <c r="FZ65" s="155"/>
      <c r="GA65" s="2"/>
      <c r="GD65" s="163"/>
      <c r="GE65" s="2"/>
      <c r="GF65" s="2"/>
    </row>
    <row r="66" spans="1:188" ht="14.5" x14ac:dyDescent="0.35">
      <c r="A66" s="72">
        <v>208</v>
      </c>
      <c r="B66" s="70" t="s">
        <v>65</v>
      </c>
      <c r="C66" s="158">
        <v>12387</v>
      </c>
      <c r="D66" s="171"/>
      <c r="E66" s="128">
        <v>1.5343331862961329</v>
      </c>
      <c r="F66" s="128">
        <v>82.970479704797043</v>
      </c>
      <c r="G66" s="129">
        <v>-4582.3847582142571</v>
      </c>
      <c r="H66" s="216"/>
      <c r="I66" s="172"/>
      <c r="J66" s="218"/>
      <c r="K66" s="128">
        <v>43.358863749743229</v>
      </c>
      <c r="L66" s="129">
        <v>2234.6007911520142</v>
      </c>
      <c r="M66" s="129">
        <v>75.802615487346472</v>
      </c>
      <c r="N66" s="129">
        <v>10759.909582626948</v>
      </c>
      <c r="O66" s="129"/>
      <c r="P66" s="117">
        <v>39888</v>
      </c>
      <c r="Q66" s="161">
        <v>104096</v>
      </c>
      <c r="R66" s="161">
        <v>136</v>
      </c>
      <c r="S66" s="161">
        <v>-64072</v>
      </c>
      <c r="T66" s="124">
        <v>38850</v>
      </c>
      <c r="U66" s="124">
        <v>35082</v>
      </c>
      <c r="V66" s="136"/>
      <c r="X66" s="116">
        <v>-372</v>
      </c>
      <c r="Y66" s="116">
        <v>474</v>
      </c>
      <c r="Z66" s="161">
        <v>9962</v>
      </c>
      <c r="AA66" s="116">
        <v>9926</v>
      </c>
      <c r="AB66" s="116">
        <v>146</v>
      </c>
      <c r="AD66" s="161">
        <v>182</v>
      </c>
      <c r="AE66" s="117">
        <v>-89</v>
      </c>
      <c r="AF66" s="117">
        <v>10</v>
      </c>
      <c r="AG66" s="116">
        <v>-54</v>
      </c>
      <c r="AH66" s="116">
        <v>59</v>
      </c>
      <c r="AI66" s="160">
        <v>108</v>
      </c>
      <c r="AJ66" s="161">
        <v>22174</v>
      </c>
      <c r="AK66" s="161">
        <v>8567</v>
      </c>
      <c r="AL66" s="150"/>
      <c r="AM66" s="161">
        <v>825</v>
      </c>
      <c r="AN66" s="161">
        <v>-6328</v>
      </c>
      <c r="AO66" s="160">
        <v>-8480</v>
      </c>
      <c r="AQ66" s="160"/>
      <c r="AR66" s="117"/>
      <c r="AS66" s="117"/>
      <c r="AT66" s="99">
        <v>20</v>
      </c>
      <c r="AU66" s="130"/>
      <c r="AV66" s="262">
        <v>48</v>
      </c>
      <c r="AW66" s="267">
        <v>12373</v>
      </c>
      <c r="AX66" s="124"/>
      <c r="AY66" s="255">
        <v>1.8034806413766131</v>
      </c>
      <c r="AZ66" s="259">
        <v>83.471974143063704</v>
      </c>
      <c r="BA66" s="160">
        <v>-4976.3194051563887</v>
      </c>
      <c r="BB66" s="130"/>
      <c r="BC66" s="130"/>
      <c r="BD66" s="130"/>
      <c r="BE66" s="128">
        <v>43.140826273977467</v>
      </c>
      <c r="BF66" s="160">
        <v>2188.3132627495356</v>
      </c>
      <c r="BG66" s="129">
        <v>77.820484182797102</v>
      </c>
      <c r="BH66" s="131">
        <v>10492.766507718419</v>
      </c>
      <c r="BI66" s="124"/>
      <c r="BJ66" s="117">
        <v>40244</v>
      </c>
      <c r="BK66" s="117">
        <v>109189</v>
      </c>
      <c r="BL66" s="161">
        <v>113</v>
      </c>
      <c r="BM66" s="161">
        <v>-68832</v>
      </c>
      <c r="BN66" s="117">
        <v>41412</v>
      </c>
      <c r="BO66" s="117">
        <v>35914</v>
      </c>
      <c r="BP66" s="136"/>
      <c r="BR66" s="160">
        <v>-285</v>
      </c>
      <c r="BS66" s="160">
        <v>645</v>
      </c>
      <c r="BT66" s="161">
        <v>8854</v>
      </c>
      <c r="BU66" s="125">
        <v>8802</v>
      </c>
      <c r="BV66" s="160">
        <v>0</v>
      </c>
      <c r="BX66" s="161">
        <v>52</v>
      </c>
      <c r="BY66" s="161">
        <v>-105</v>
      </c>
      <c r="BZ66" s="160">
        <v>17</v>
      </c>
      <c r="CA66" s="160">
        <v>27</v>
      </c>
      <c r="CB66" s="160">
        <v>68</v>
      </c>
      <c r="CC66" s="160">
        <v>5</v>
      </c>
      <c r="CD66" s="160">
        <v>22405</v>
      </c>
      <c r="CE66" s="116">
        <v>8489</v>
      </c>
      <c r="CF66" s="150"/>
      <c r="CG66" s="161">
        <v>1366</v>
      </c>
      <c r="CH66" s="160">
        <v>-4745</v>
      </c>
      <c r="CI66" s="159">
        <v>-4467</v>
      </c>
      <c r="CK66" s="124"/>
      <c r="CL66" s="161"/>
      <c r="CM66" s="124"/>
      <c r="CN66" s="265">
        <v>21</v>
      </c>
      <c r="CO66" s="130"/>
      <c r="CP66" s="116">
        <v>52</v>
      </c>
      <c r="CQ66" s="267">
        <v>12400</v>
      </c>
      <c r="CR66" s="124"/>
      <c r="CS66" s="268">
        <v>2.232519237203078</v>
      </c>
      <c r="CT66" s="269">
        <v>75.78757583386799</v>
      </c>
      <c r="CU66" s="160">
        <v>-4583.4677419354839</v>
      </c>
      <c r="CV66" s="130"/>
      <c r="CW66" s="130"/>
      <c r="CX66" s="130"/>
      <c r="CY66" s="269">
        <v>45.603797388143533</v>
      </c>
      <c r="CZ66" s="125">
        <v>2270.4032258064517</v>
      </c>
      <c r="DA66" s="125">
        <v>81.309107453711036</v>
      </c>
      <c r="DB66" s="273">
        <v>10191.935483870968</v>
      </c>
      <c r="DC66" s="124"/>
      <c r="DD66" s="117">
        <v>38128</v>
      </c>
      <c r="DE66" s="117">
        <v>110509</v>
      </c>
      <c r="DF66" s="117">
        <v>259</v>
      </c>
      <c r="DG66" s="117">
        <v>-72122</v>
      </c>
      <c r="DH66" s="117">
        <v>49304</v>
      </c>
      <c r="DI66" s="117">
        <v>35699</v>
      </c>
      <c r="DJ66" s="136"/>
      <c r="DL66" s="160">
        <v>-294</v>
      </c>
      <c r="DM66" s="160">
        <v>382</v>
      </c>
      <c r="DN66" s="161">
        <v>12969</v>
      </c>
      <c r="DO66" s="116">
        <v>9105</v>
      </c>
      <c r="DP66" s="160">
        <v>0</v>
      </c>
      <c r="DR66" s="161">
        <v>3864</v>
      </c>
      <c r="DS66" s="117">
        <v>-40</v>
      </c>
      <c r="DT66" s="116">
        <v>-16</v>
      </c>
      <c r="DU66" s="116">
        <v>-11</v>
      </c>
      <c r="DV66" s="116">
        <v>-8</v>
      </c>
      <c r="DW66" s="160">
        <v>3811</v>
      </c>
      <c r="DX66" s="160">
        <v>26209</v>
      </c>
      <c r="DY66" s="116">
        <v>12372</v>
      </c>
      <c r="DZ66" s="150"/>
      <c r="EA66" s="117">
        <v>2072</v>
      </c>
      <c r="EB66" s="116">
        <v>-5601</v>
      </c>
      <c r="EC66" s="159">
        <v>3850</v>
      </c>
      <c r="EE66" s="125"/>
      <c r="EF66" s="161"/>
      <c r="EG66" s="124"/>
      <c r="EH66" s="253">
        <v>21</v>
      </c>
      <c r="EI66" s="130"/>
      <c r="EJ66" s="125">
        <v>114</v>
      </c>
      <c r="EK66" s="116"/>
      <c r="EL66" s="159"/>
      <c r="EN66" s="116"/>
      <c r="EO66" s="116"/>
      <c r="EP66" s="159"/>
      <c r="EQ66" s="159">
        <v>-21918</v>
      </c>
      <c r="ER66" s="116">
        <v>2038</v>
      </c>
      <c r="ES66" s="116">
        <v>2833</v>
      </c>
      <c r="ET66" s="160">
        <v>-15413</v>
      </c>
      <c r="EU66" s="116">
        <v>1420</v>
      </c>
      <c r="EV66" s="116">
        <v>1037</v>
      </c>
      <c r="EW66" s="160">
        <v>-9791</v>
      </c>
      <c r="EX66" s="160">
        <v>555</v>
      </c>
      <c r="EY66" s="160">
        <v>714</v>
      </c>
      <c r="EZ66" s="116">
        <v>15287</v>
      </c>
      <c r="FA66" s="116">
        <v>25</v>
      </c>
      <c r="FB66" s="116">
        <v>9272</v>
      </c>
      <c r="FC66" s="160">
        <v>-2190</v>
      </c>
      <c r="FD66" s="116">
        <v>3045</v>
      </c>
      <c r="FE66" s="116">
        <v>-2145</v>
      </c>
      <c r="FF66" s="3">
        <v>68437</v>
      </c>
      <c r="FG66" s="3">
        <v>46541</v>
      </c>
      <c r="FH66" s="3">
        <v>21896</v>
      </c>
      <c r="FI66" s="3">
        <v>1411</v>
      </c>
      <c r="FJ66" s="125">
        <v>70809</v>
      </c>
      <c r="FK66" s="160">
        <v>50629</v>
      </c>
      <c r="FL66" s="125">
        <v>20180</v>
      </c>
      <c r="FM66" s="116">
        <v>1306</v>
      </c>
      <c r="FN66" s="125">
        <v>66331</v>
      </c>
      <c r="FO66" s="116">
        <v>48069</v>
      </c>
      <c r="FP66" s="116">
        <v>18262</v>
      </c>
      <c r="FQ66" s="116">
        <v>2072</v>
      </c>
      <c r="FR66" s="153">
        <v>3869</v>
      </c>
      <c r="FS66" s="153">
        <v>3163</v>
      </c>
      <c r="FT66" s="276">
        <v>5483</v>
      </c>
      <c r="FU66" s="3">
        <v>4311</v>
      </c>
      <c r="FV66" s="159">
        <v>1525</v>
      </c>
      <c r="FW66" s="170"/>
      <c r="FZ66" s="155"/>
      <c r="GA66" s="2"/>
      <c r="GD66" s="163"/>
      <c r="GE66" s="2"/>
      <c r="GF66" s="2"/>
    </row>
    <row r="67" spans="1:188" ht="14.5" x14ac:dyDescent="0.35">
      <c r="A67" s="72">
        <v>211</v>
      </c>
      <c r="B67" s="70" t="s">
        <v>66</v>
      </c>
      <c r="C67" s="158">
        <v>31676</v>
      </c>
      <c r="D67" s="171"/>
      <c r="E67" s="128">
        <v>1.0978476568462829</v>
      </c>
      <c r="F67" s="128">
        <v>56.851177069734746</v>
      </c>
      <c r="G67" s="129">
        <v>-2961.3587574188659</v>
      </c>
      <c r="H67" s="216"/>
      <c r="I67" s="172"/>
      <c r="J67" s="218"/>
      <c r="K67" s="128">
        <v>44.893140741623782</v>
      </c>
      <c r="L67" s="129">
        <v>1383.7921454729133</v>
      </c>
      <c r="M67" s="129">
        <v>51.196616341655414</v>
      </c>
      <c r="N67" s="129">
        <v>9865.5764616744545</v>
      </c>
      <c r="O67" s="129"/>
      <c r="P67" s="117">
        <v>116161</v>
      </c>
      <c r="Q67" s="161">
        <v>265051</v>
      </c>
      <c r="R67" s="161">
        <v>29</v>
      </c>
      <c r="S67" s="161">
        <v>-148861</v>
      </c>
      <c r="T67" s="124">
        <v>125174</v>
      </c>
      <c r="U67" s="124">
        <v>37493</v>
      </c>
      <c r="V67" s="136"/>
      <c r="X67" s="116">
        <v>-1135</v>
      </c>
      <c r="Y67" s="116">
        <v>480</v>
      </c>
      <c r="Z67" s="161">
        <v>13151</v>
      </c>
      <c r="AA67" s="116">
        <v>17607</v>
      </c>
      <c r="AB67" s="117">
        <v>0</v>
      </c>
      <c r="AD67" s="161">
        <v>-4456</v>
      </c>
      <c r="AE67" s="117">
        <v>-211</v>
      </c>
      <c r="AF67" s="117">
        <v>1</v>
      </c>
      <c r="AG67" s="116">
        <v>-375</v>
      </c>
      <c r="AH67" s="117">
        <v>-79</v>
      </c>
      <c r="AI67" s="160">
        <v>-5120</v>
      </c>
      <c r="AJ67" s="161">
        <v>67806</v>
      </c>
      <c r="AK67" s="161">
        <v>11638</v>
      </c>
      <c r="AL67" s="150"/>
      <c r="AM67" s="161">
        <v>-4516</v>
      </c>
      <c r="AN67" s="161">
        <v>-11869</v>
      </c>
      <c r="AO67" s="160">
        <v>-17929</v>
      </c>
      <c r="AQ67" s="160"/>
      <c r="AR67" s="117"/>
      <c r="AS67" s="117"/>
      <c r="AT67" s="99">
        <v>21</v>
      </c>
      <c r="AU67" s="130"/>
      <c r="AV67" s="262">
        <v>176</v>
      </c>
      <c r="AW67" s="267">
        <v>31868</v>
      </c>
      <c r="AX67" s="124"/>
      <c r="AY67" s="255">
        <v>1.5022061772964299</v>
      </c>
      <c r="AZ67" s="259">
        <v>67.098011520992571</v>
      </c>
      <c r="BA67" s="160">
        <v>-3674.8776201832557</v>
      </c>
      <c r="BB67" s="130"/>
      <c r="BC67" s="130"/>
      <c r="BD67" s="130"/>
      <c r="BE67" s="128">
        <v>41.032115053505336</v>
      </c>
      <c r="BF67" s="160">
        <v>1926.9800426760387</v>
      </c>
      <c r="BG67" s="129">
        <v>48.772966579378163</v>
      </c>
      <c r="BH67" s="131">
        <v>10293.429145224049</v>
      </c>
      <c r="BI67" s="124"/>
      <c r="BJ67" s="117">
        <v>119381</v>
      </c>
      <c r="BK67" s="117">
        <v>269358</v>
      </c>
      <c r="BL67" s="161">
        <v>138</v>
      </c>
      <c r="BM67" s="161">
        <v>-149839</v>
      </c>
      <c r="BN67" s="117">
        <v>130861</v>
      </c>
      <c r="BO67" s="117">
        <v>38622</v>
      </c>
      <c r="BP67" s="136"/>
      <c r="BR67" s="160">
        <v>-1140</v>
      </c>
      <c r="BS67" s="160">
        <v>2726</v>
      </c>
      <c r="BT67" s="161">
        <v>21230</v>
      </c>
      <c r="BU67" s="125">
        <v>18767</v>
      </c>
      <c r="BV67" s="161">
        <v>0</v>
      </c>
      <c r="BX67" s="161">
        <v>2463</v>
      </c>
      <c r="BY67" s="161">
        <v>-141</v>
      </c>
      <c r="BZ67" s="160">
        <v>0</v>
      </c>
      <c r="CA67" s="161">
        <v>324</v>
      </c>
      <c r="CB67" s="161">
        <v>-121</v>
      </c>
      <c r="CC67" s="160">
        <v>1877</v>
      </c>
      <c r="CD67" s="160">
        <v>69100</v>
      </c>
      <c r="CE67" s="116">
        <v>18488</v>
      </c>
      <c r="CF67" s="150"/>
      <c r="CG67" s="161">
        <v>5562</v>
      </c>
      <c r="CH67" s="160">
        <v>-13718</v>
      </c>
      <c r="CI67" s="159">
        <v>-21650</v>
      </c>
      <c r="CK67" s="124"/>
      <c r="CL67" s="161"/>
      <c r="CM67" s="124"/>
      <c r="CN67" s="265">
        <v>21</v>
      </c>
      <c r="CO67" s="130"/>
      <c r="CP67" s="116">
        <v>68</v>
      </c>
      <c r="CQ67" s="267">
        <v>32214</v>
      </c>
      <c r="CR67" s="124"/>
      <c r="CS67" s="268">
        <v>2.2780662983425413</v>
      </c>
      <c r="CT67" s="269">
        <v>66.521007759608537</v>
      </c>
      <c r="CU67" s="160">
        <v>-3506.7362016514562</v>
      </c>
      <c r="CV67" s="130"/>
      <c r="CW67" s="130"/>
      <c r="CX67" s="130"/>
      <c r="CY67" s="269">
        <v>42.336826141279268</v>
      </c>
      <c r="CZ67" s="125">
        <v>2435.5559694542744</v>
      </c>
      <c r="DA67" s="125">
        <v>84.00000879964098</v>
      </c>
      <c r="DB67" s="273">
        <v>10583.069472899981</v>
      </c>
      <c r="DC67" s="124"/>
      <c r="DD67" s="117">
        <v>124217</v>
      </c>
      <c r="DE67" s="117">
        <v>274709</v>
      </c>
      <c r="DF67" s="117">
        <v>210</v>
      </c>
      <c r="DG67" s="117">
        <v>-150282</v>
      </c>
      <c r="DH67" s="117">
        <v>137479</v>
      </c>
      <c r="DI67" s="117">
        <v>51593</v>
      </c>
      <c r="DJ67" s="136"/>
      <c r="DL67" s="160">
        <v>-1187</v>
      </c>
      <c r="DM67" s="160">
        <v>2307</v>
      </c>
      <c r="DN67" s="161">
        <v>39910</v>
      </c>
      <c r="DO67" s="116">
        <v>20821</v>
      </c>
      <c r="DP67" s="161">
        <v>0</v>
      </c>
      <c r="DR67" s="161">
        <v>19089</v>
      </c>
      <c r="DS67" s="117">
        <v>-563</v>
      </c>
      <c r="DT67" s="116">
        <v>1</v>
      </c>
      <c r="DU67" s="117">
        <v>580</v>
      </c>
      <c r="DV67" s="117">
        <v>-68</v>
      </c>
      <c r="DW67" s="160">
        <v>17879</v>
      </c>
      <c r="DX67" s="160">
        <v>86979</v>
      </c>
      <c r="DY67" s="116">
        <v>37837</v>
      </c>
      <c r="DZ67" s="150"/>
      <c r="EA67" s="117">
        <v>-1657</v>
      </c>
      <c r="EB67" s="116">
        <v>-16777</v>
      </c>
      <c r="EC67" s="159">
        <v>2519</v>
      </c>
      <c r="EE67" s="125"/>
      <c r="EF67" s="161"/>
      <c r="EG67" s="124"/>
      <c r="EH67" s="253">
        <v>21</v>
      </c>
      <c r="EI67" s="130"/>
      <c r="EJ67" s="125">
        <v>64</v>
      </c>
      <c r="EK67" s="116"/>
      <c r="EL67" s="159"/>
      <c r="EN67" s="116"/>
      <c r="EO67" s="116"/>
      <c r="EP67" s="159"/>
      <c r="EQ67" s="159">
        <v>-31635</v>
      </c>
      <c r="ER67" s="116">
        <v>20</v>
      </c>
      <c r="ES67" s="116">
        <v>2048</v>
      </c>
      <c r="ET67" s="160">
        <v>-43978</v>
      </c>
      <c r="EU67" s="116">
        <v>0</v>
      </c>
      <c r="EV67" s="116">
        <v>3840</v>
      </c>
      <c r="EW67" s="160">
        <v>-47631</v>
      </c>
      <c r="EX67" s="160">
        <v>679</v>
      </c>
      <c r="EY67" s="160">
        <v>11634</v>
      </c>
      <c r="EZ67" s="116">
        <v>13385</v>
      </c>
      <c r="FA67" s="116">
        <v>-1445</v>
      </c>
      <c r="FB67" s="116">
        <v>49647</v>
      </c>
      <c r="FC67" s="160">
        <v>277</v>
      </c>
      <c r="FD67" s="116">
        <v>26005</v>
      </c>
      <c r="FE67" s="116">
        <v>2428</v>
      </c>
      <c r="FF67" s="3">
        <v>101383</v>
      </c>
      <c r="FG67" s="3">
        <v>88906</v>
      </c>
      <c r="FH67" s="3">
        <v>12477</v>
      </c>
      <c r="FI67" s="3">
        <v>116</v>
      </c>
      <c r="FJ67" s="125">
        <v>137589</v>
      </c>
      <c r="FK67" s="160">
        <v>121799</v>
      </c>
      <c r="FL67" s="125">
        <v>15790</v>
      </c>
      <c r="FM67" s="116">
        <v>100</v>
      </c>
      <c r="FN67" s="125">
        <v>150003</v>
      </c>
      <c r="FO67" s="116">
        <v>130285</v>
      </c>
      <c r="FP67" s="116">
        <v>19718</v>
      </c>
      <c r="FQ67" s="116">
        <v>-1657</v>
      </c>
      <c r="FR67" s="153">
        <v>36111</v>
      </c>
      <c r="FS67" s="153">
        <v>34108</v>
      </c>
      <c r="FT67" s="276">
        <v>22444</v>
      </c>
      <c r="FU67" s="3">
        <v>15089</v>
      </c>
      <c r="FV67" s="159">
        <v>18220</v>
      </c>
      <c r="FW67" s="170"/>
      <c r="FZ67" s="155"/>
      <c r="GA67" s="2"/>
      <c r="GD67" s="163"/>
      <c r="GE67" s="2"/>
      <c r="GF67" s="2"/>
    </row>
    <row r="68" spans="1:188" ht="14.5" x14ac:dyDescent="0.35">
      <c r="A68" s="72">
        <v>213</v>
      </c>
      <c r="B68" s="70" t="s">
        <v>67</v>
      </c>
      <c r="C68" s="158">
        <v>5452</v>
      </c>
      <c r="D68" s="171"/>
      <c r="E68" s="128">
        <v>0.85335769757880309</v>
      </c>
      <c r="F68" s="128">
        <v>61.2894792738918</v>
      </c>
      <c r="G68" s="129">
        <v>-5268.3418928833453</v>
      </c>
      <c r="H68" s="216"/>
      <c r="I68" s="172"/>
      <c r="J68" s="218"/>
      <c r="K68" s="128">
        <v>31.232706633557999</v>
      </c>
      <c r="L68" s="129">
        <v>323.55099046221568</v>
      </c>
      <c r="M68" s="129">
        <v>9.8499242737160948</v>
      </c>
      <c r="N68" s="129">
        <v>11989.545121056493</v>
      </c>
      <c r="O68" s="129"/>
      <c r="P68" s="117">
        <v>25024</v>
      </c>
      <c r="Q68" s="161">
        <v>59547</v>
      </c>
      <c r="R68" s="161">
        <v>5</v>
      </c>
      <c r="S68" s="161">
        <v>-34518</v>
      </c>
      <c r="T68" s="124">
        <v>18063</v>
      </c>
      <c r="U68" s="124">
        <v>18116</v>
      </c>
      <c r="V68" s="136"/>
      <c r="X68" s="116">
        <v>-170</v>
      </c>
      <c r="Y68" s="116">
        <v>184</v>
      </c>
      <c r="Z68" s="161">
        <v>1675</v>
      </c>
      <c r="AA68" s="116">
        <v>2585</v>
      </c>
      <c r="AB68" s="116">
        <v>15</v>
      </c>
      <c r="AD68" s="161">
        <v>-895</v>
      </c>
      <c r="AE68" s="116">
        <v>9</v>
      </c>
      <c r="AF68" s="116">
        <v>8</v>
      </c>
      <c r="AG68" s="116">
        <v>0</v>
      </c>
      <c r="AH68" s="116">
        <v>0</v>
      </c>
      <c r="AI68" s="160">
        <v>-878</v>
      </c>
      <c r="AJ68" s="161">
        <v>-907</v>
      </c>
      <c r="AK68" s="161">
        <v>1582</v>
      </c>
      <c r="AL68" s="150"/>
      <c r="AM68" s="161">
        <v>-29</v>
      </c>
      <c r="AN68" s="161">
        <v>-1996</v>
      </c>
      <c r="AO68" s="160">
        <v>-1919</v>
      </c>
      <c r="AQ68" s="160"/>
      <c r="AR68" s="117"/>
      <c r="AS68" s="117"/>
      <c r="AT68" s="99">
        <v>20.75</v>
      </c>
      <c r="AU68" s="130"/>
      <c r="AV68" s="262">
        <v>214</v>
      </c>
      <c r="AW68" s="267">
        <v>5356</v>
      </c>
      <c r="AX68" s="124"/>
      <c r="AY68" s="255">
        <v>0.61678990865593741</v>
      </c>
      <c r="AZ68" s="259">
        <v>61.040262053173898</v>
      </c>
      <c r="BA68" s="160">
        <v>-5386.4824495892462</v>
      </c>
      <c r="BB68" s="130"/>
      <c r="BC68" s="130"/>
      <c r="BD68" s="130"/>
      <c r="BE68" s="128">
        <v>29.093839541547279</v>
      </c>
      <c r="BF68" s="160">
        <v>578.97684839432418</v>
      </c>
      <c r="BG68" s="129">
        <v>9.579966968709547</v>
      </c>
      <c r="BH68" s="131">
        <v>12548.356982823001</v>
      </c>
      <c r="BI68" s="124"/>
      <c r="BJ68" s="117">
        <v>26002</v>
      </c>
      <c r="BK68" s="117">
        <v>61757</v>
      </c>
      <c r="BL68" s="161">
        <v>17</v>
      </c>
      <c r="BM68" s="161">
        <v>-35738</v>
      </c>
      <c r="BN68" s="117">
        <v>18514</v>
      </c>
      <c r="BO68" s="117">
        <v>18372</v>
      </c>
      <c r="BP68" s="136"/>
      <c r="BR68" s="160">
        <v>-191</v>
      </c>
      <c r="BS68" s="160">
        <v>245</v>
      </c>
      <c r="BT68" s="161">
        <v>1202</v>
      </c>
      <c r="BU68" s="125">
        <v>2691</v>
      </c>
      <c r="BV68" s="160">
        <v>0</v>
      </c>
      <c r="BW68" s="117"/>
      <c r="BX68" s="161">
        <v>-1489</v>
      </c>
      <c r="BY68" s="160">
        <v>19</v>
      </c>
      <c r="BZ68" s="161">
        <v>0</v>
      </c>
      <c r="CA68" s="160">
        <v>0</v>
      </c>
      <c r="CB68" s="160">
        <v>0</v>
      </c>
      <c r="CC68" s="160">
        <v>-1470</v>
      </c>
      <c r="CD68" s="160">
        <v>-2417</v>
      </c>
      <c r="CE68" s="116">
        <v>1235</v>
      </c>
      <c r="CF68" s="150"/>
      <c r="CG68" s="161">
        <v>572</v>
      </c>
      <c r="CH68" s="160">
        <v>-2083</v>
      </c>
      <c r="CI68" s="159">
        <v>-1479</v>
      </c>
      <c r="CK68" s="124"/>
      <c r="CL68" s="161"/>
      <c r="CM68" s="124"/>
      <c r="CN68" s="265">
        <v>20.75</v>
      </c>
      <c r="CO68" s="130"/>
      <c r="CP68" s="116">
        <v>232</v>
      </c>
      <c r="CQ68" s="267">
        <v>5312</v>
      </c>
      <c r="CR68" s="124"/>
      <c r="CS68" s="268">
        <v>2.2949328713728887</v>
      </c>
      <c r="CT68" s="269">
        <v>52.689453360685413</v>
      </c>
      <c r="CU68" s="160">
        <v>-4747.1762048192768</v>
      </c>
      <c r="CV68" s="130"/>
      <c r="CW68" s="130"/>
      <c r="CX68" s="130"/>
      <c r="CY68" s="269">
        <v>33.993844136448907</v>
      </c>
      <c r="CZ68" s="125">
        <v>560.80572289156623</v>
      </c>
      <c r="DA68" s="125">
        <v>16.554787533685541</v>
      </c>
      <c r="DB68" s="273">
        <v>12364.64608433735</v>
      </c>
      <c r="DC68" s="124"/>
      <c r="DD68" s="117">
        <v>26821</v>
      </c>
      <c r="DE68" s="117">
        <v>61319</v>
      </c>
      <c r="DF68" s="117">
        <v>7</v>
      </c>
      <c r="DG68" s="117">
        <v>-34491</v>
      </c>
      <c r="DH68" s="117">
        <v>19437</v>
      </c>
      <c r="DI68" s="117">
        <v>20038</v>
      </c>
      <c r="DJ68" s="136"/>
      <c r="DL68" s="160">
        <v>-167</v>
      </c>
      <c r="DM68" s="160">
        <v>292</v>
      </c>
      <c r="DN68" s="161">
        <v>5109</v>
      </c>
      <c r="DO68" s="116">
        <v>2654</v>
      </c>
      <c r="DP68" s="160">
        <v>0</v>
      </c>
      <c r="DQ68" s="117"/>
      <c r="DR68" s="161">
        <v>2455</v>
      </c>
      <c r="DS68" s="116">
        <v>7</v>
      </c>
      <c r="DT68" s="117">
        <v>0</v>
      </c>
      <c r="DU68" s="116">
        <v>0</v>
      </c>
      <c r="DV68" s="116">
        <v>0</v>
      </c>
      <c r="DW68" s="160">
        <v>2462</v>
      </c>
      <c r="DX68" s="160">
        <v>-28</v>
      </c>
      <c r="DY68" s="116">
        <v>4798</v>
      </c>
      <c r="DZ68" s="150"/>
      <c r="EA68" s="117">
        <v>-321</v>
      </c>
      <c r="EB68" s="116">
        <v>-2119</v>
      </c>
      <c r="EC68" s="159">
        <v>4837</v>
      </c>
      <c r="EE68" s="125"/>
      <c r="EF68" s="161"/>
      <c r="EG68" s="124"/>
      <c r="EH68" s="253">
        <v>21.5</v>
      </c>
      <c r="EI68" s="130"/>
      <c r="EJ68" s="125">
        <v>147</v>
      </c>
      <c r="EK68" s="116"/>
      <c r="EL68" s="159"/>
      <c r="EN68" s="116"/>
      <c r="EO68" s="116"/>
      <c r="EP68" s="159"/>
      <c r="EQ68" s="159">
        <v>-3629</v>
      </c>
      <c r="ER68" s="116">
        <v>110</v>
      </c>
      <c r="ES68" s="116">
        <v>18</v>
      </c>
      <c r="ET68" s="160">
        <v>-3149</v>
      </c>
      <c r="EU68" s="116">
        <v>30</v>
      </c>
      <c r="EV68" s="116">
        <v>405</v>
      </c>
      <c r="EW68" s="160">
        <v>-2042</v>
      </c>
      <c r="EX68" s="160">
        <v>16</v>
      </c>
      <c r="EY68" s="160">
        <v>2065</v>
      </c>
      <c r="EZ68" s="116">
        <v>1777</v>
      </c>
      <c r="FA68" s="116">
        <v>409</v>
      </c>
      <c r="FB68" s="116">
        <v>1721</v>
      </c>
      <c r="FC68" s="160">
        <v>1839</v>
      </c>
      <c r="FD68" s="116">
        <v>883</v>
      </c>
      <c r="FE68" s="116">
        <v>-2831</v>
      </c>
      <c r="FF68" s="3">
        <v>30405</v>
      </c>
      <c r="FG68" s="3">
        <v>18932</v>
      </c>
      <c r="FH68" s="3">
        <v>11473</v>
      </c>
      <c r="FI68" s="3">
        <v>600</v>
      </c>
      <c r="FJ68" s="125">
        <v>30813</v>
      </c>
      <c r="FK68" s="160">
        <v>18513</v>
      </c>
      <c r="FL68" s="125">
        <v>12300</v>
      </c>
      <c r="FM68" s="116">
        <v>496</v>
      </c>
      <c r="FN68" s="125">
        <v>27831</v>
      </c>
      <c r="FO68" s="116">
        <v>17499</v>
      </c>
      <c r="FP68" s="116">
        <v>10332</v>
      </c>
      <c r="FQ68" s="116">
        <v>-321</v>
      </c>
      <c r="FR68" s="153">
        <v>1709</v>
      </c>
      <c r="FS68" s="153">
        <v>1630</v>
      </c>
      <c r="FT68" s="276">
        <v>1154</v>
      </c>
      <c r="FU68" s="3">
        <v>215</v>
      </c>
      <c r="FV68" s="159">
        <v>171</v>
      </c>
      <c r="FW68" s="170"/>
      <c r="FZ68" s="155"/>
      <c r="GA68" s="2"/>
      <c r="GD68" s="163"/>
      <c r="GE68" s="2"/>
      <c r="GF68" s="2"/>
    </row>
    <row r="69" spans="1:188" ht="14.5" x14ac:dyDescent="0.35">
      <c r="A69" s="72">
        <v>214</v>
      </c>
      <c r="B69" s="70" t="s">
        <v>68</v>
      </c>
      <c r="C69" s="158">
        <v>11471</v>
      </c>
      <c r="D69" s="171"/>
      <c r="E69" s="128">
        <v>0.81291028446389502</v>
      </c>
      <c r="F69" s="128">
        <v>77.74969509059116</v>
      </c>
      <c r="G69" s="129">
        <v>-7641.8795222735598</v>
      </c>
      <c r="H69" s="216"/>
      <c r="I69" s="172"/>
      <c r="J69" s="218"/>
      <c r="K69" s="128">
        <v>20.924291845493563</v>
      </c>
      <c r="L69" s="129">
        <v>469.6190393165374</v>
      </c>
      <c r="M69" s="129">
        <v>13.060651752265057</v>
      </c>
      <c r="N69" s="129">
        <v>13124.226309824775</v>
      </c>
      <c r="O69" s="129"/>
      <c r="P69" s="117">
        <v>67714</v>
      </c>
      <c r="Q69" s="161">
        <v>129320</v>
      </c>
      <c r="R69" s="161">
        <v>20</v>
      </c>
      <c r="S69" s="161">
        <v>-61586</v>
      </c>
      <c r="T69" s="124">
        <v>39779</v>
      </c>
      <c r="U69" s="124">
        <v>28613</v>
      </c>
      <c r="V69" s="136"/>
      <c r="X69" s="116">
        <v>-428</v>
      </c>
      <c r="Y69" s="116">
        <v>606</v>
      </c>
      <c r="Z69" s="161">
        <v>6984</v>
      </c>
      <c r="AA69" s="116">
        <v>9583</v>
      </c>
      <c r="AB69" s="116">
        <v>0</v>
      </c>
      <c r="AD69" s="161">
        <v>-2599</v>
      </c>
      <c r="AE69" s="116">
        <v>-632</v>
      </c>
      <c r="AF69" s="116">
        <v>-1</v>
      </c>
      <c r="AG69" s="116">
        <v>0</v>
      </c>
      <c r="AH69" s="116">
        <v>-200</v>
      </c>
      <c r="AI69" s="160">
        <v>-3432</v>
      </c>
      <c r="AJ69" s="161">
        <v>6400</v>
      </c>
      <c r="AK69" s="161">
        <v>7580</v>
      </c>
      <c r="AL69" s="150"/>
      <c r="AM69" s="161">
        <v>108</v>
      </c>
      <c r="AN69" s="161">
        <v>-8694</v>
      </c>
      <c r="AO69" s="160">
        <v>-3475</v>
      </c>
      <c r="AQ69" s="160"/>
      <c r="AR69" s="117"/>
      <c r="AS69" s="117"/>
      <c r="AT69" s="99">
        <v>21.5</v>
      </c>
      <c r="AU69" s="130"/>
      <c r="AV69" s="262">
        <v>109</v>
      </c>
      <c r="AW69" s="267">
        <v>11286</v>
      </c>
      <c r="AX69" s="124"/>
      <c r="AY69" s="255">
        <v>0.62558775287042101</v>
      </c>
      <c r="AZ69" s="259">
        <v>81.239679824658836</v>
      </c>
      <c r="BA69" s="160">
        <v>-8283.5371256423878</v>
      </c>
      <c r="BB69" s="130"/>
      <c r="BC69" s="130"/>
      <c r="BD69" s="130"/>
      <c r="BE69" s="128">
        <v>23.192446043165468</v>
      </c>
      <c r="BF69" s="160">
        <v>524.1892610313663</v>
      </c>
      <c r="BG69" s="129">
        <v>13.075756971316871</v>
      </c>
      <c r="BH69" s="131">
        <v>13326.422115895801</v>
      </c>
      <c r="BI69" s="124"/>
      <c r="BJ69" s="117">
        <v>66892</v>
      </c>
      <c r="BK69" s="117">
        <v>129802</v>
      </c>
      <c r="BL69" s="161">
        <v>-57</v>
      </c>
      <c r="BM69" s="161">
        <v>-62967</v>
      </c>
      <c r="BN69" s="117">
        <v>39426</v>
      </c>
      <c r="BO69" s="117">
        <v>28733</v>
      </c>
      <c r="BP69" s="136"/>
      <c r="BR69" s="160">
        <v>-374</v>
      </c>
      <c r="BS69" s="160">
        <v>500</v>
      </c>
      <c r="BT69" s="161">
        <v>5318</v>
      </c>
      <c r="BU69" s="125">
        <v>8985</v>
      </c>
      <c r="BV69" s="160">
        <v>0</v>
      </c>
      <c r="BX69" s="161">
        <v>-3667</v>
      </c>
      <c r="BY69" s="160">
        <v>-541</v>
      </c>
      <c r="BZ69" s="160">
        <v>2</v>
      </c>
      <c r="CA69" s="160">
        <v>17</v>
      </c>
      <c r="CB69" s="160">
        <v>-82</v>
      </c>
      <c r="CC69" s="160">
        <v>-4305</v>
      </c>
      <c r="CD69" s="160">
        <v>1132</v>
      </c>
      <c r="CE69" s="116">
        <v>5620</v>
      </c>
      <c r="CF69" s="150"/>
      <c r="CG69" s="160">
        <v>2444</v>
      </c>
      <c r="CH69" s="160">
        <v>-8742</v>
      </c>
      <c r="CI69" s="159">
        <v>-5561</v>
      </c>
      <c r="CK69" s="124"/>
      <c r="CL69" s="161"/>
      <c r="CM69" s="124"/>
      <c r="CN69" s="265">
        <v>21.5</v>
      </c>
      <c r="CO69" s="130"/>
      <c r="CP69" s="116">
        <v>129</v>
      </c>
      <c r="CQ69" s="267">
        <v>11163</v>
      </c>
      <c r="CR69" s="124"/>
      <c r="CS69" s="268">
        <v>1.8245423237266631</v>
      </c>
      <c r="CT69" s="269">
        <v>77.709741331105846</v>
      </c>
      <c r="CU69" s="160">
        <v>-7939.890710382514</v>
      </c>
      <c r="CV69" s="130"/>
      <c r="CW69" s="130"/>
      <c r="CX69" s="130"/>
      <c r="CY69" s="269">
        <v>27.715467664758176</v>
      </c>
      <c r="CZ69" s="125">
        <v>845.11332079190186</v>
      </c>
      <c r="DA69" s="125">
        <v>22.423289312599305</v>
      </c>
      <c r="DB69" s="273">
        <v>13756.517065305026</v>
      </c>
      <c r="DC69" s="124"/>
      <c r="DD69" s="117">
        <v>71156</v>
      </c>
      <c r="DE69" s="117">
        <v>126380</v>
      </c>
      <c r="DF69" s="117">
        <v>101</v>
      </c>
      <c r="DG69" s="117">
        <v>-55123</v>
      </c>
      <c r="DH69" s="117">
        <v>40372</v>
      </c>
      <c r="DI69" s="117">
        <v>33329</v>
      </c>
      <c r="DJ69" s="136"/>
      <c r="DL69" s="160">
        <v>337</v>
      </c>
      <c r="DM69" s="160">
        <v>822</v>
      </c>
      <c r="DN69" s="161">
        <v>19737</v>
      </c>
      <c r="DO69" s="116">
        <v>8913</v>
      </c>
      <c r="DP69" s="160">
        <v>0</v>
      </c>
      <c r="DR69" s="161">
        <v>10824</v>
      </c>
      <c r="DS69" s="116">
        <v>-3274</v>
      </c>
      <c r="DT69" s="116">
        <v>0</v>
      </c>
      <c r="DU69" s="116">
        <v>12</v>
      </c>
      <c r="DV69" s="116">
        <v>-48</v>
      </c>
      <c r="DW69" s="160">
        <v>7490</v>
      </c>
      <c r="DX69" s="160">
        <v>9686</v>
      </c>
      <c r="DY69" s="116">
        <v>19311</v>
      </c>
      <c r="DZ69" s="150"/>
      <c r="EA69" s="116">
        <v>-4185</v>
      </c>
      <c r="EB69" s="116">
        <v>-10639</v>
      </c>
      <c r="EC69" s="159">
        <v>5454</v>
      </c>
      <c r="EE69" s="125"/>
      <c r="EF69" s="161"/>
      <c r="EG69" s="124"/>
      <c r="EH69" s="253">
        <v>21.75</v>
      </c>
      <c r="EI69" s="130"/>
      <c r="EJ69" s="125">
        <v>11</v>
      </c>
      <c r="EK69" s="116"/>
      <c r="EL69" s="159"/>
      <c r="EN69" s="116"/>
      <c r="EO69" s="116"/>
      <c r="EP69" s="159"/>
      <c r="EQ69" s="159">
        <v>-12055</v>
      </c>
      <c r="ER69" s="116">
        <v>670</v>
      </c>
      <c r="ES69" s="116">
        <v>330</v>
      </c>
      <c r="ET69" s="160">
        <v>-11428</v>
      </c>
      <c r="EU69" s="116">
        <v>173</v>
      </c>
      <c r="EV69" s="116">
        <v>74</v>
      </c>
      <c r="EW69" s="160">
        <v>-15884</v>
      </c>
      <c r="EX69" s="160">
        <v>227</v>
      </c>
      <c r="EY69" s="160">
        <v>1800</v>
      </c>
      <c r="EZ69" s="116">
        <v>9740</v>
      </c>
      <c r="FA69" s="116">
        <v>158</v>
      </c>
      <c r="FB69" s="116">
        <v>14450</v>
      </c>
      <c r="FC69" s="160">
        <v>-549</v>
      </c>
      <c r="FD69" s="116">
        <v>11297</v>
      </c>
      <c r="FE69" s="116">
        <v>954</v>
      </c>
      <c r="FF69" s="3">
        <v>73033</v>
      </c>
      <c r="FG69" s="3">
        <v>60519</v>
      </c>
      <c r="FH69" s="3">
        <v>12514</v>
      </c>
      <c r="FI69" s="3">
        <v>0</v>
      </c>
      <c r="FJ69" s="125">
        <v>78249</v>
      </c>
      <c r="FK69" s="160">
        <v>64771</v>
      </c>
      <c r="FL69" s="125">
        <v>13478</v>
      </c>
      <c r="FM69" s="116">
        <v>0</v>
      </c>
      <c r="FN69" s="125">
        <v>79892</v>
      </c>
      <c r="FO69" s="116">
        <v>65193</v>
      </c>
      <c r="FP69" s="116">
        <v>14699</v>
      </c>
      <c r="FQ69" s="116">
        <v>-4185</v>
      </c>
      <c r="FR69" s="153">
        <v>1644</v>
      </c>
      <c r="FS69" s="153">
        <v>1565</v>
      </c>
      <c r="FT69" s="276">
        <v>1486</v>
      </c>
      <c r="FU69" s="3">
        <v>13626</v>
      </c>
      <c r="FV69" s="159">
        <v>18001</v>
      </c>
      <c r="FW69" s="170"/>
      <c r="FZ69" s="155"/>
      <c r="GA69" s="2"/>
      <c r="GD69" s="163"/>
      <c r="GE69" s="2"/>
      <c r="GF69" s="2"/>
    </row>
    <row r="70" spans="1:188" ht="14.5" x14ac:dyDescent="0.35">
      <c r="A70" s="72">
        <v>216</v>
      </c>
      <c r="B70" s="70" t="s">
        <v>69</v>
      </c>
      <c r="C70" s="158">
        <v>1353</v>
      </c>
      <c r="D70" s="171"/>
      <c r="E70" s="128">
        <v>0.83229813664596275</v>
      </c>
      <c r="F70" s="128">
        <v>59.354557348451813</v>
      </c>
      <c r="G70" s="129">
        <v>-6055.4323725055438</v>
      </c>
      <c r="H70" s="216"/>
      <c r="I70" s="172"/>
      <c r="J70" s="218"/>
      <c r="K70" s="128">
        <v>49.77155633323612</v>
      </c>
      <c r="L70" s="129">
        <v>3169.2535107169256</v>
      </c>
      <c r="M70" s="129">
        <v>55.341748877338141</v>
      </c>
      <c r="N70" s="129">
        <v>20902.439024390245</v>
      </c>
      <c r="O70" s="129"/>
      <c r="P70" s="117">
        <v>15267</v>
      </c>
      <c r="Q70" s="161">
        <v>24123</v>
      </c>
      <c r="R70" s="161">
        <v>0</v>
      </c>
      <c r="S70" s="161">
        <v>-8856</v>
      </c>
      <c r="T70" s="124">
        <v>4049</v>
      </c>
      <c r="U70" s="124">
        <v>5907</v>
      </c>
      <c r="V70" s="136"/>
      <c r="X70" s="116">
        <v>-5</v>
      </c>
      <c r="Y70" s="116">
        <v>92</v>
      </c>
      <c r="Z70" s="161">
        <v>1187</v>
      </c>
      <c r="AA70" s="116">
        <v>1292</v>
      </c>
      <c r="AB70" s="116">
        <v>18</v>
      </c>
      <c r="AD70" s="161">
        <v>-87</v>
      </c>
      <c r="AE70" s="117">
        <v>8</v>
      </c>
      <c r="AF70" s="117">
        <v>1</v>
      </c>
      <c r="AG70" s="116">
        <v>0</v>
      </c>
      <c r="AH70" s="116">
        <v>0</v>
      </c>
      <c r="AI70" s="160">
        <v>-78</v>
      </c>
      <c r="AJ70" s="161">
        <v>11798</v>
      </c>
      <c r="AK70" s="161">
        <v>1216</v>
      </c>
      <c r="AL70" s="150"/>
      <c r="AM70" s="161">
        <v>94</v>
      </c>
      <c r="AN70" s="161">
        <v>-1430</v>
      </c>
      <c r="AO70" s="160">
        <v>-1438</v>
      </c>
      <c r="AQ70" s="160"/>
      <c r="AR70" s="117"/>
      <c r="AS70" s="117"/>
      <c r="AT70" s="99">
        <v>21</v>
      </c>
      <c r="AU70" s="130"/>
      <c r="AV70" s="262">
        <v>36</v>
      </c>
      <c r="AW70" s="267">
        <v>1339</v>
      </c>
      <c r="AX70" s="124"/>
      <c r="AY70" s="255">
        <v>-1.1375730045425048</v>
      </c>
      <c r="AZ70" s="259">
        <v>62.840097279221766</v>
      </c>
      <c r="BA70" s="160">
        <v>-7273.3383121732641</v>
      </c>
      <c r="BB70" s="130"/>
      <c r="BC70" s="130"/>
      <c r="BD70" s="130"/>
      <c r="BE70" s="128">
        <v>39.321926489226868</v>
      </c>
      <c r="BF70" s="160">
        <v>4031.3666915608665</v>
      </c>
      <c r="BG70" s="129">
        <v>49.276493923556451</v>
      </c>
      <c r="BH70" s="131">
        <v>23720.687079910382</v>
      </c>
      <c r="BI70" s="124"/>
      <c r="BJ70" s="117">
        <v>16283</v>
      </c>
      <c r="BK70" s="117">
        <v>25702</v>
      </c>
      <c r="BL70" s="161">
        <v>-1</v>
      </c>
      <c r="BM70" s="161">
        <v>-9420</v>
      </c>
      <c r="BN70" s="117">
        <v>4304</v>
      </c>
      <c r="BO70" s="117">
        <v>5729</v>
      </c>
      <c r="BP70" s="136"/>
      <c r="BR70" s="160">
        <v>-7</v>
      </c>
      <c r="BS70" s="160">
        <v>-2375</v>
      </c>
      <c r="BT70" s="161">
        <v>-1769</v>
      </c>
      <c r="BU70" s="125">
        <v>1341</v>
      </c>
      <c r="BV70" s="160">
        <v>-134</v>
      </c>
      <c r="BX70" s="161">
        <v>-3244</v>
      </c>
      <c r="BY70" s="161">
        <v>10</v>
      </c>
      <c r="BZ70" s="161">
        <v>1</v>
      </c>
      <c r="CA70" s="160">
        <v>0</v>
      </c>
      <c r="CB70" s="160">
        <v>0</v>
      </c>
      <c r="CC70" s="160">
        <v>-3233</v>
      </c>
      <c r="CD70" s="160">
        <v>8567</v>
      </c>
      <c r="CE70" s="116">
        <v>481</v>
      </c>
      <c r="CF70" s="150"/>
      <c r="CG70" s="160">
        <v>1158</v>
      </c>
      <c r="CH70" s="160">
        <v>-1525</v>
      </c>
      <c r="CI70" s="159">
        <v>-1574</v>
      </c>
      <c r="CK70" s="124"/>
      <c r="CL70" s="161"/>
      <c r="CM70" s="124"/>
      <c r="CN70" s="265">
        <v>21</v>
      </c>
      <c r="CO70" s="130"/>
      <c r="CP70" s="116">
        <v>293</v>
      </c>
      <c r="CQ70" s="267">
        <v>1323</v>
      </c>
      <c r="CR70" s="124"/>
      <c r="CS70" s="268">
        <v>0.12656580445745894</v>
      </c>
      <c r="CT70" s="269">
        <v>73.182203716554866</v>
      </c>
      <c r="CU70" s="160">
        <v>-9321.2396069538918</v>
      </c>
      <c r="CV70" s="130"/>
      <c r="CW70" s="130"/>
      <c r="CX70" s="130"/>
      <c r="CY70" s="269">
        <v>39.137587395994814</v>
      </c>
      <c r="CZ70" s="125">
        <v>3880.5744520030235</v>
      </c>
      <c r="DA70" s="125">
        <v>56.579408212560388</v>
      </c>
      <c r="DB70" s="273">
        <v>25034.013605442175</v>
      </c>
      <c r="DC70" s="124"/>
      <c r="DD70" s="117">
        <v>15291</v>
      </c>
      <c r="DE70" s="117">
        <v>24659</v>
      </c>
      <c r="DF70" s="117">
        <v>0</v>
      </c>
      <c r="DG70" s="117">
        <v>-9368</v>
      </c>
      <c r="DH70" s="117">
        <v>4314</v>
      </c>
      <c r="DI70" s="117">
        <v>6333</v>
      </c>
      <c r="DJ70" s="136"/>
      <c r="DL70" s="160">
        <v>-8</v>
      </c>
      <c r="DM70" s="160">
        <v>-509</v>
      </c>
      <c r="DN70" s="161">
        <v>762</v>
      </c>
      <c r="DO70" s="116">
        <v>1284</v>
      </c>
      <c r="DP70" s="160">
        <v>0</v>
      </c>
      <c r="DR70" s="161">
        <v>-522</v>
      </c>
      <c r="DS70" s="117">
        <v>10</v>
      </c>
      <c r="DT70" s="117">
        <v>0</v>
      </c>
      <c r="DU70" s="116">
        <v>0</v>
      </c>
      <c r="DV70" s="116">
        <v>0</v>
      </c>
      <c r="DW70" s="160">
        <v>-512</v>
      </c>
      <c r="DX70" s="160">
        <v>8026</v>
      </c>
      <c r="DY70" s="116">
        <v>-1001</v>
      </c>
      <c r="DZ70" s="150"/>
      <c r="EA70" s="116">
        <v>-41</v>
      </c>
      <c r="EB70" s="116">
        <v>-6131</v>
      </c>
      <c r="EC70" s="159">
        <v>-2614</v>
      </c>
      <c r="EE70" s="125"/>
      <c r="EF70" s="161"/>
      <c r="EG70" s="124"/>
      <c r="EH70" s="253">
        <v>21</v>
      </c>
      <c r="EI70" s="130"/>
      <c r="EJ70" s="125">
        <v>278</v>
      </c>
      <c r="EK70" s="116"/>
      <c r="EL70" s="159"/>
      <c r="EN70" s="116"/>
      <c r="EO70" s="116"/>
      <c r="EP70" s="159"/>
      <c r="EQ70" s="159">
        <v>-2656</v>
      </c>
      <c r="ER70" s="116">
        <v>2</v>
      </c>
      <c r="ES70" s="116">
        <v>0</v>
      </c>
      <c r="ET70" s="160">
        <v>-2087</v>
      </c>
      <c r="EU70" s="116">
        <v>14</v>
      </c>
      <c r="EV70" s="116">
        <v>18</v>
      </c>
      <c r="EW70" s="160">
        <v>-1688</v>
      </c>
      <c r="EX70" s="160">
        <v>0</v>
      </c>
      <c r="EY70" s="160">
        <v>75</v>
      </c>
      <c r="EZ70" s="116">
        <v>2430</v>
      </c>
      <c r="FA70" s="116">
        <v>179</v>
      </c>
      <c r="FB70" s="116">
        <v>3545</v>
      </c>
      <c r="FC70" s="160">
        <v>-500</v>
      </c>
      <c r="FD70" s="116">
        <v>2717</v>
      </c>
      <c r="FE70" s="116">
        <v>5893</v>
      </c>
      <c r="FF70" s="3">
        <v>11737</v>
      </c>
      <c r="FG70" s="3">
        <v>9053</v>
      </c>
      <c r="FH70" s="3">
        <v>2684</v>
      </c>
      <c r="FI70" s="3">
        <v>62</v>
      </c>
      <c r="FJ70" s="125">
        <v>13258</v>
      </c>
      <c r="FK70" s="160">
        <v>11200</v>
      </c>
      <c r="FL70" s="125">
        <v>2058</v>
      </c>
      <c r="FM70" s="116">
        <v>49</v>
      </c>
      <c r="FN70" s="125">
        <v>15737</v>
      </c>
      <c r="FO70" s="116">
        <v>7699</v>
      </c>
      <c r="FP70" s="116">
        <v>8038</v>
      </c>
      <c r="FQ70" s="116">
        <v>-41</v>
      </c>
      <c r="FR70" s="153">
        <v>2642</v>
      </c>
      <c r="FS70" s="153">
        <v>2455</v>
      </c>
      <c r="FT70" s="276">
        <v>88</v>
      </c>
      <c r="FU70" s="3">
        <v>245</v>
      </c>
      <c r="FV70" s="159">
        <v>266</v>
      </c>
      <c r="FW70" s="170"/>
      <c r="FZ70" s="155"/>
      <c r="GA70" s="2"/>
      <c r="GD70" s="163"/>
      <c r="GE70" s="2"/>
      <c r="GF70" s="2"/>
    </row>
    <row r="71" spans="1:188" ht="14.5" x14ac:dyDescent="0.35">
      <c r="A71" s="72">
        <v>217</v>
      </c>
      <c r="B71" s="70" t="s">
        <v>70</v>
      </c>
      <c r="C71" s="158">
        <v>5502</v>
      </c>
      <c r="D71" s="171"/>
      <c r="E71" s="128">
        <v>2.8591178406846609</v>
      </c>
      <c r="F71" s="128">
        <v>62.21512369110885</v>
      </c>
      <c r="G71" s="129">
        <v>-5334.7873500545256</v>
      </c>
      <c r="H71" s="216"/>
      <c r="I71" s="172"/>
      <c r="J71" s="218"/>
      <c r="K71" s="128">
        <v>36.580077669369999</v>
      </c>
      <c r="L71" s="129">
        <v>1748.6368593238822</v>
      </c>
      <c r="M71" s="129">
        <v>49.374534257553819</v>
      </c>
      <c r="N71" s="129">
        <v>12926.75390766994</v>
      </c>
      <c r="O71" s="129"/>
      <c r="P71" s="117">
        <v>38693</v>
      </c>
      <c r="Q71" s="161">
        <v>65720</v>
      </c>
      <c r="R71" s="161">
        <v>227</v>
      </c>
      <c r="S71" s="161">
        <v>-26800</v>
      </c>
      <c r="T71" s="124">
        <v>17779</v>
      </c>
      <c r="U71" s="124">
        <v>13339</v>
      </c>
      <c r="V71" s="136"/>
      <c r="X71" s="116">
        <v>-116</v>
      </c>
      <c r="Y71" s="116">
        <v>0</v>
      </c>
      <c r="Z71" s="161">
        <v>4202</v>
      </c>
      <c r="AA71" s="116">
        <v>3147</v>
      </c>
      <c r="AB71" s="116">
        <v>0</v>
      </c>
      <c r="AD71" s="161">
        <v>1055</v>
      </c>
      <c r="AE71" s="116">
        <v>-150</v>
      </c>
      <c r="AF71" s="116">
        <v>-271</v>
      </c>
      <c r="AG71" s="116">
        <v>-144</v>
      </c>
      <c r="AH71" s="117">
        <v>0</v>
      </c>
      <c r="AI71" s="160">
        <v>490</v>
      </c>
      <c r="AJ71" s="161">
        <v>12872</v>
      </c>
      <c r="AK71" s="161">
        <v>3209</v>
      </c>
      <c r="AL71" s="150"/>
      <c r="AM71" s="161">
        <v>523</v>
      </c>
      <c r="AN71" s="161">
        <v>-1378</v>
      </c>
      <c r="AO71" s="160">
        <v>808</v>
      </c>
      <c r="AQ71" s="160"/>
      <c r="AR71" s="117"/>
      <c r="AS71" s="117"/>
      <c r="AT71" s="99">
        <v>21.5</v>
      </c>
      <c r="AU71" s="130"/>
      <c r="AV71" s="262">
        <v>57</v>
      </c>
      <c r="AW71" s="267">
        <v>5464</v>
      </c>
      <c r="AX71" s="124"/>
      <c r="AY71" s="255">
        <v>1.8780487804878048</v>
      </c>
      <c r="AZ71" s="259">
        <v>62.621429397478892</v>
      </c>
      <c r="BA71" s="160">
        <v>-5558.5651537335289</v>
      </c>
      <c r="BB71" s="130"/>
      <c r="BC71" s="130"/>
      <c r="BD71" s="130"/>
      <c r="BE71" s="128">
        <v>37.007732422226219</v>
      </c>
      <c r="BF71" s="160">
        <v>1539.3484626647146</v>
      </c>
      <c r="BG71" s="129">
        <v>48.953300341534813</v>
      </c>
      <c r="BH71" s="131">
        <v>13128.660322108346</v>
      </c>
      <c r="BI71" s="124"/>
      <c r="BJ71" s="117">
        <v>37672</v>
      </c>
      <c r="BK71" s="117">
        <v>66838</v>
      </c>
      <c r="BL71" s="161">
        <v>232</v>
      </c>
      <c r="BM71" s="161">
        <v>-28934</v>
      </c>
      <c r="BN71" s="117">
        <v>17802</v>
      </c>
      <c r="BO71" s="117">
        <v>13702</v>
      </c>
      <c r="BP71" s="136"/>
      <c r="BR71" s="160">
        <v>-125</v>
      </c>
      <c r="BS71" s="160">
        <v>21</v>
      </c>
      <c r="BT71" s="161">
        <v>2466</v>
      </c>
      <c r="BU71" s="125">
        <v>3204</v>
      </c>
      <c r="BV71" s="160">
        <v>0</v>
      </c>
      <c r="BW71" s="117"/>
      <c r="BX71" s="161">
        <v>-738</v>
      </c>
      <c r="BY71" s="160">
        <v>-33</v>
      </c>
      <c r="BZ71" s="160">
        <v>-10</v>
      </c>
      <c r="CA71" s="161">
        <v>31</v>
      </c>
      <c r="CB71" s="161">
        <v>0</v>
      </c>
      <c r="CC71" s="160">
        <v>-812</v>
      </c>
      <c r="CD71" s="160">
        <v>12038</v>
      </c>
      <c r="CE71" s="116">
        <v>2263</v>
      </c>
      <c r="CF71" s="150"/>
      <c r="CG71" s="161">
        <v>-31</v>
      </c>
      <c r="CH71" s="160">
        <v>-1242</v>
      </c>
      <c r="CI71" s="159">
        <v>-1094</v>
      </c>
      <c r="CK71" s="124"/>
      <c r="CL71" s="161"/>
      <c r="CM71" s="124"/>
      <c r="CN71" s="265">
        <v>21.5</v>
      </c>
      <c r="CO71" s="130"/>
      <c r="CP71" s="116">
        <v>140</v>
      </c>
      <c r="CQ71" s="267">
        <v>5426</v>
      </c>
      <c r="CR71" s="124"/>
      <c r="CS71" s="268">
        <v>4.9066558441558445</v>
      </c>
      <c r="CT71" s="269">
        <v>63.47554478712069</v>
      </c>
      <c r="CU71" s="160">
        <v>-5402.1378547733138</v>
      </c>
      <c r="CV71" s="130"/>
      <c r="CW71" s="130"/>
      <c r="CX71" s="130"/>
      <c r="CY71" s="269">
        <v>39.103869653767823</v>
      </c>
      <c r="CZ71" s="125">
        <v>1885.3667526723186</v>
      </c>
      <c r="DA71" s="125">
        <v>53.385613999971397</v>
      </c>
      <c r="DB71" s="273">
        <v>12890.342793955031</v>
      </c>
      <c r="DC71" s="124"/>
      <c r="DD71" s="117">
        <v>30543</v>
      </c>
      <c r="DE71" s="117">
        <v>62726</v>
      </c>
      <c r="DF71" s="117">
        <v>216</v>
      </c>
      <c r="DG71" s="117">
        <v>-31967</v>
      </c>
      <c r="DH71" s="117">
        <v>19290</v>
      </c>
      <c r="DI71" s="117">
        <v>18680</v>
      </c>
      <c r="DJ71" s="136"/>
      <c r="DL71" s="160">
        <v>-124</v>
      </c>
      <c r="DM71" s="160">
        <v>24</v>
      </c>
      <c r="DN71" s="161">
        <v>5903</v>
      </c>
      <c r="DO71" s="116">
        <v>3377</v>
      </c>
      <c r="DP71" s="160">
        <v>0</v>
      </c>
      <c r="DQ71" s="117"/>
      <c r="DR71" s="161">
        <v>2526</v>
      </c>
      <c r="DS71" s="116">
        <v>-65</v>
      </c>
      <c r="DT71" s="116">
        <v>-48</v>
      </c>
      <c r="DU71" s="117">
        <v>6</v>
      </c>
      <c r="DV71" s="117">
        <v>-64</v>
      </c>
      <c r="DW71" s="160">
        <v>2343</v>
      </c>
      <c r="DX71" s="160">
        <v>14381</v>
      </c>
      <c r="DY71" s="116">
        <v>5585</v>
      </c>
      <c r="DZ71" s="150"/>
      <c r="EA71" s="117">
        <v>604</v>
      </c>
      <c r="EB71" s="116">
        <v>-1090</v>
      </c>
      <c r="EC71" s="159">
        <v>485</v>
      </c>
      <c r="EE71" s="125"/>
      <c r="EF71" s="161"/>
      <c r="EG71" s="124"/>
      <c r="EH71" s="253">
        <v>21.5</v>
      </c>
      <c r="EI71" s="130"/>
      <c r="EJ71" s="125">
        <v>106</v>
      </c>
      <c r="EK71" s="116"/>
      <c r="EL71" s="159"/>
      <c r="EN71" s="116"/>
      <c r="EO71" s="116"/>
      <c r="EP71" s="159"/>
      <c r="EQ71" s="159">
        <v>-3806</v>
      </c>
      <c r="ER71" s="116">
        <v>44</v>
      </c>
      <c r="ES71" s="116">
        <v>1361</v>
      </c>
      <c r="ET71" s="160">
        <v>-3456</v>
      </c>
      <c r="EU71" s="116">
        <v>0</v>
      </c>
      <c r="EV71" s="116">
        <v>99</v>
      </c>
      <c r="EW71" s="160">
        <v>-5973</v>
      </c>
      <c r="EX71" s="160">
        <v>36</v>
      </c>
      <c r="EY71" s="160">
        <v>837</v>
      </c>
      <c r="EZ71" s="116">
        <v>655</v>
      </c>
      <c r="FA71" s="116">
        <v>1059</v>
      </c>
      <c r="FB71" s="116">
        <v>1331</v>
      </c>
      <c r="FC71" s="160">
        <v>361</v>
      </c>
      <c r="FD71" s="116">
        <v>1821</v>
      </c>
      <c r="FE71" s="116">
        <v>-1835</v>
      </c>
      <c r="FF71" s="3">
        <v>28644</v>
      </c>
      <c r="FG71" s="3">
        <v>11639</v>
      </c>
      <c r="FH71" s="3">
        <v>17005</v>
      </c>
      <c r="FI71" s="3">
        <v>49</v>
      </c>
      <c r="FJ71" s="125">
        <v>29127</v>
      </c>
      <c r="FK71" s="160">
        <v>11464</v>
      </c>
      <c r="FL71" s="125">
        <v>17663</v>
      </c>
      <c r="FM71" s="116">
        <v>47</v>
      </c>
      <c r="FN71" s="125">
        <v>28025</v>
      </c>
      <c r="FO71" s="116">
        <v>11753</v>
      </c>
      <c r="FP71" s="116">
        <v>16272</v>
      </c>
      <c r="FQ71" s="116">
        <v>604</v>
      </c>
      <c r="FR71" s="153">
        <v>1265</v>
      </c>
      <c r="FS71" s="153">
        <v>1155</v>
      </c>
      <c r="FT71" s="276">
        <v>1430</v>
      </c>
      <c r="FU71" s="3">
        <v>308</v>
      </c>
      <c r="FV71" s="159">
        <v>1450</v>
      </c>
      <c r="FW71" s="170"/>
      <c r="FZ71" s="155"/>
      <c r="GA71" s="2"/>
      <c r="GD71" s="163"/>
      <c r="GE71" s="2"/>
      <c r="GF71" s="2"/>
    </row>
    <row r="72" spans="1:188" ht="14.5" x14ac:dyDescent="0.35">
      <c r="A72" s="72">
        <v>218</v>
      </c>
      <c r="B72" s="70" t="s">
        <v>71</v>
      </c>
      <c r="C72" s="158">
        <v>1274</v>
      </c>
      <c r="D72" s="171"/>
      <c r="E72" s="128">
        <v>0.74184782608695654</v>
      </c>
      <c r="F72" s="128">
        <v>28.819389321056253</v>
      </c>
      <c r="G72" s="129">
        <v>-1902.6687598116171</v>
      </c>
      <c r="H72" s="216"/>
      <c r="I72" s="172"/>
      <c r="J72" s="218"/>
      <c r="K72" s="128">
        <v>49.091684434968016</v>
      </c>
      <c r="L72" s="129">
        <v>1427.7864992150705</v>
      </c>
      <c r="M72" s="129">
        <v>32.388653105029512</v>
      </c>
      <c r="N72" s="129">
        <v>16090.26687598116</v>
      </c>
      <c r="O72" s="129"/>
      <c r="P72" s="117">
        <v>9985</v>
      </c>
      <c r="Q72" s="161">
        <v>18628</v>
      </c>
      <c r="R72" s="161">
        <v>1</v>
      </c>
      <c r="S72" s="161">
        <v>-8642</v>
      </c>
      <c r="T72" s="124">
        <v>4032</v>
      </c>
      <c r="U72" s="124">
        <v>4880</v>
      </c>
      <c r="V72" s="136"/>
      <c r="X72" s="116">
        <v>-37</v>
      </c>
      <c r="Y72" s="116">
        <v>3</v>
      </c>
      <c r="Z72" s="161">
        <v>236</v>
      </c>
      <c r="AA72" s="116">
        <v>451</v>
      </c>
      <c r="AB72" s="116">
        <v>0</v>
      </c>
      <c r="AD72" s="161">
        <v>-215</v>
      </c>
      <c r="AE72" s="116">
        <v>0</v>
      </c>
      <c r="AF72" s="116">
        <v>1</v>
      </c>
      <c r="AG72" s="116">
        <v>0</v>
      </c>
      <c r="AH72" s="116">
        <v>0</v>
      </c>
      <c r="AI72" s="160">
        <v>-214</v>
      </c>
      <c r="AJ72" s="161">
        <v>1246</v>
      </c>
      <c r="AK72" s="161">
        <v>255</v>
      </c>
      <c r="AL72" s="150"/>
      <c r="AM72" s="161">
        <v>-173</v>
      </c>
      <c r="AN72" s="161">
        <v>-331</v>
      </c>
      <c r="AO72" s="160">
        <v>-1209</v>
      </c>
      <c r="AQ72" s="160"/>
      <c r="AR72" s="117"/>
      <c r="AS72" s="117"/>
      <c r="AT72" s="99">
        <v>22</v>
      </c>
      <c r="AU72" s="130"/>
      <c r="AV72" s="262">
        <v>253</v>
      </c>
      <c r="AW72" s="267">
        <v>1245</v>
      </c>
      <c r="AX72" s="124"/>
      <c r="AY72" s="255">
        <v>-0.67032967032967028</v>
      </c>
      <c r="AZ72" s="259">
        <v>31.777036684135304</v>
      </c>
      <c r="BA72" s="160">
        <v>-2829.7188755020079</v>
      </c>
      <c r="BB72" s="130"/>
      <c r="BC72" s="130"/>
      <c r="BD72" s="130"/>
      <c r="BE72" s="128">
        <v>43.328401079293236</v>
      </c>
      <c r="BF72" s="160">
        <v>910.84337349397595</v>
      </c>
      <c r="BG72" s="129">
        <v>32.64023401012733</v>
      </c>
      <c r="BH72" s="131">
        <v>16338.152610441768</v>
      </c>
      <c r="BI72" s="124"/>
      <c r="BJ72" s="117">
        <v>9957</v>
      </c>
      <c r="BK72" s="117">
        <v>19143</v>
      </c>
      <c r="BL72" s="161">
        <v>0</v>
      </c>
      <c r="BM72" s="161">
        <v>-9186</v>
      </c>
      <c r="BN72" s="117">
        <v>3838</v>
      </c>
      <c r="BO72" s="117">
        <v>5096</v>
      </c>
      <c r="BP72" s="136"/>
      <c r="BR72" s="160">
        <v>-36</v>
      </c>
      <c r="BS72" s="160">
        <v>8</v>
      </c>
      <c r="BT72" s="161">
        <v>-280</v>
      </c>
      <c r="BU72" s="125">
        <v>496</v>
      </c>
      <c r="BV72" s="160">
        <v>-4</v>
      </c>
      <c r="BX72" s="161">
        <v>-780</v>
      </c>
      <c r="BY72" s="160">
        <v>2</v>
      </c>
      <c r="BZ72" s="160">
        <v>0</v>
      </c>
      <c r="CA72" s="160">
        <v>0</v>
      </c>
      <c r="CB72" s="160">
        <v>1</v>
      </c>
      <c r="CC72" s="160">
        <v>-777</v>
      </c>
      <c r="CD72" s="160">
        <v>451</v>
      </c>
      <c r="CE72" s="116">
        <v>-284</v>
      </c>
      <c r="CF72" s="150"/>
      <c r="CG72" s="161">
        <v>-120</v>
      </c>
      <c r="CH72" s="160">
        <v>-328</v>
      </c>
      <c r="CI72" s="159">
        <v>-1075</v>
      </c>
      <c r="CK72" s="124"/>
      <c r="CL72" s="161"/>
      <c r="CM72" s="124"/>
      <c r="CN72" s="265">
        <v>22</v>
      </c>
      <c r="CO72" s="130"/>
      <c r="CP72" s="116">
        <v>284</v>
      </c>
      <c r="CQ72" s="267">
        <v>1207</v>
      </c>
      <c r="CR72" s="124"/>
      <c r="CS72" s="268">
        <v>5.4421593830334194</v>
      </c>
      <c r="CT72" s="269">
        <v>31.581822696796621</v>
      </c>
      <c r="CU72" s="160">
        <v>-1716.6528583264292</v>
      </c>
      <c r="CV72" s="130"/>
      <c r="CW72" s="130"/>
      <c r="CX72" s="130"/>
      <c r="CY72" s="269">
        <v>48.591018685955397</v>
      </c>
      <c r="CZ72" s="125">
        <v>2399.3371996686001</v>
      </c>
      <c r="DA72" s="125">
        <v>55.704047217537941</v>
      </c>
      <c r="DB72" s="273">
        <v>15721.623860811931</v>
      </c>
      <c r="DC72" s="124"/>
      <c r="DD72" s="117">
        <v>9884</v>
      </c>
      <c r="DE72" s="117">
        <v>18031</v>
      </c>
      <c r="DF72" s="117">
        <v>1</v>
      </c>
      <c r="DG72" s="117">
        <v>-8146</v>
      </c>
      <c r="DH72" s="117">
        <v>4144</v>
      </c>
      <c r="DI72" s="117">
        <v>6107</v>
      </c>
      <c r="DJ72" s="136"/>
      <c r="DL72" s="160">
        <v>-33</v>
      </c>
      <c r="DM72" s="160">
        <v>11</v>
      </c>
      <c r="DN72" s="161">
        <v>2083</v>
      </c>
      <c r="DO72" s="116">
        <v>581</v>
      </c>
      <c r="DP72" s="160">
        <v>0</v>
      </c>
      <c r="DR72" s="161">
        <v>1502</v>
      </c>
      <c r="DS72" s="116">
        <v>0</v>
      </c>
      <c r="DT72" s="116">
        <v>0</v>
      </c>
      <c r="DU72" s="116">
        <v>0</v>
      </c>
      <c r="DV72" s="116">
        <v>0</v>
      </c>
      <c r="DW72" s="160">
        <v>1502</v>
      </c>
      <c r="DX72" s="160">
        <v>1926</v>
      </c>
      <c r="DY72" s="116">
        <v>2062</v>
      </c>
      <c r="DZ72" s="150"/>
      <c r="EA72" s="117">
        <v>-48</v>
      </c>
      <c r="EB72" s="116">
        <v>-355</v>
      </c>
      <c r="EC72" s="159">
        <v>1522</v>
      </c>
      <c r="EE72" s="125"/>
      <c r="EF72" s="161"/>
      <c r="EG72" s="124"/>
      <c r="EH72" s="253">
        <v>22</v>
      </c>
      <c r="EI72" s="130"/>
      <c r="EJ72" s="125">
        <v>12</v>
      </c>
      <c r="EK72" s="116"/>
      <c r="EL72" s="159"/>
      <c r="EN72" s="116"/>
      <c r="EO72" s="116"/>
      <c r="EP72" s="159"/>
      <c r="EQ72" s="159">
        <v>-1497</v>
      </c>
      <c r="ER72" s="116">
        <v>0</v>
      </c>
      <c r="ES72" s="116">
        <v>33</v>
      </c>
      <c r="ET72" s="160">
        <v>-830</v>
      </c>
      <c r="EU72" s="116">
        <v>27</v>
      </c>
      <c r="EV72" s="116">
        <v>12</v>
      </c>
      <c r="EW72" s="160">
        <v>-551</v>
      </c>
      <c r="EX72" s="160">
        <v>5</v>
      </c>
      <c r="EY72" s="160">
        <v>6</v>
      </c>
      <c r="EZ72" s="116">
        <v>397</v>
      </c>
      <c r="FA72" s="116">
        <v>-1</v>
      </c>
      <c r="FB72" s="116">
        <v>624</v>
      </c>
      <c r="FC72" s="160">
        <v>65</v>
      </c>
      <c r="FD72" s="116">
        <v>808</v>
      </c>
      <c r="FE72" s="116">
        <v>312</v>
      </c>
      <c r="FF72" s="3">
        <v>3034</v>
      </c>
      <c r="FG72" s="3">
        <v>2676</v>
      </c>
      <c r="FH72" s="3">
        <v>358</v>
      </c>
      <c r="FI72" s="3">
        <v>1</v>
      </c>
      <c r="FJ72" s="125">
        <v>3396</v>
      </c>
      <c r="FK72" s="160">
        <v>2951</v>
      </c>
      <c r="FL72" s="125">
        <v>445</v>
      </c>
      <c r="FM72" s="116">
        <v>0</v>
      </c>
      <c r="FN72" s="125">
        <v>4161</v>
      </c>
      <c r="FO72" s="116">
        <v>3294</v>
      </c>
      <c r="FP72" s="116">
        <v>867</v>
      </c>
      <c r="FQ72" s="116">
        <v>-48</v>
      </c>
      <c r="FR72" s="153">
        <v>88</v>
      </c>
      <c r="FS72" s="153">
        <v>76</v>
      </c>
      <c r="FT72" s="276">
        <v>65</v>
      </c>
      <c r="FU72" s="3">
        <v>486</v>
      </c>
      <c r="FV72" s="159">
        <v>494</v>
      </c>
      <c r="FW72" s="170"/>
      <c r="FZ72" s="155"/>
      <c r="GA72" s="2"/>
      <c r="GD72" s="163"/>
      <c r="GE72" s="2"/>
      <c r="GF72" s="2"/>
    </row>
    <row r="73" spans="1:188" ht="14.5" x14ac:dyDescent="0.35">
      <c r="A73" s="72">
        <v>224</v>
      </c>
      <c r="B73" s="70" t="s">
        <v>72</v>
      </c>
      <c r="C73" s="158">
        <v>8778</v>
      </c>
      <c r="D73" s="171"/>
      <c r="E73" s="128">
        <v>0.20637782700530627</v>
      </c>
      <c r="F73" s="128">
        <v>71.485528081272761</v>
      </c>
      <c r="G73" s="129">
        <v>-7005.6960583276377</v>
      </c>
      <c r="H73" s="216"/>
      <c r="I73" s="172"/>
      <c r="J73" s="218"/>
      <c r="K73" s="128">
        <v>12.137055363644851</v>
      </c>
      <c r="L73" s="129">
        <v>897.69879243563457</v>
      </c>
      <c r="M73" s="129">
        <v>23.36968002990071</v>
      </c>
      <c r="N73" s="129">
        <v>14020.7336523126</v>
      </c>
      <c r="O73" s="129"/>
      <c r="P73" s="117">
        <v>53575</v>
      </c>
      <c r="Q73" s="161">
        <v>100388</v>
      </c>
      <c r="R73" s="161">
        <v>-6</v>
      </c>
      <c r="S73" s="161">
        <v>-46819</v>
      </c>
      <c r="T73" s="124">
        <v>30716</v>
      </c>
      <c r="U73" s="124">
        <v>20049</v>
      </c>
      <c r="V73" s="136"/>
      <c r="X73" s="116">
        <v>-549</v>
      </c>
      <c r="Y73" s="116">
        <v>24</v>
      </c>
      <c r="Z73" s="161">
        <v>3421</v>
      </c>
      <c r="AA73" s="116">
        <v>4326</v>
      </c>
      <c r="AB73" s="116">
        <v>0</v>
      </c>
      <c r="AD73" s="161">
        <v>-905</v>
      </c>
      <c r="AE73" s="116">
        <v>-9</v>
      </c>
      <c r="AF73" s="116">
        <v>0</v>
      </c>
      <c r="AG73" s="116">
        <v>-2</v>
      </c>
      <c r="AH73" s="116">
        <v>0</v>
      </c>
      <c r="AI73" s="160">
        <v>-916</v>
      </c>
      <c r="AJ73" s="161">
        <v>1808</v>
      </c>
      <c r="AK73" s="161">
        <v>2542</v>
      </c>
      <c r="AL73" s="150"/>
      <c r="AM73" s="161">
        <v>10</v>
      </c>
      <c r="AN73" s="161">
        <v>-18826</v>
      </c>
      <c r="AO73" s="160">
        <v>511</v>
      </c>
      <c r="AQ73" s="160"/>
      <c r="AR73" s="117"/>
      <c r="AS73" s="117"/>
      <c r="AT73" s="99">
        <v>20.75</v>
      </c>
      <c r="AU73" s="130"/>
      <c r="AV73" s="262">
        <v>186</v>
      </c>
      <c r="AW73" s="267">
        <v>8714</v>
      </c>
      <c r="AX73" s="124"/>
      <c r="AY73" s="255">
        <v>8.0514629591201495E-2</v>
      </c>
      <c r="AZ73" s="259">
        <v>72.467486753862687</v>
      </c>
      <c r="BA73" s="160">
        <v>-7550.9524902455814</v>
      </c>
      <c r="BB73" s="130"/>
      <c r="BC73" s="130"/>
      <c r="BD73" s="130"/>
      <c r="BE73" s="128">
        <v>8.1807251202367741</v>
      </c>
      <c r="BF73" s="160">
        <v>789.41932522377783</v>
      </c>
      <c r="BG73" s="129">
        <v>22.708575128101881</v>
      </c>
      <c r="BH73" s="131">
        <v>14534.886389717696</v>
      </c>
      <c r="BI73" s="124"/>
      <c r="BJ73" s="117">
        <v>56672</v>
      </c>
      <c r="BK73" s="117">
        <v>106822</v>
      </c>
      <c r="BL73" s="161">
        <v>7</v>
      </c>
      <c r="BM73" s="161">
        <v>-50143</v>
      </c>
      <c r="BN73" s="117">
        <v>30775</v>
      </c>
      <c r="BO73" s="117">
        <v>20509</v>
      </c>
      <c r="BP73" s="136"/>
      <c r="BR73" s="160">
        <v>-508</v>
      </c>
      <c r="BS73" s="160">
        <v>17</v>
      </c>
      <c r="BT73" s="161">
        <v>650</v>
      </c>
      <c r="BU73" s="125">
        <v>4068</v>
      </c>
      <c r="BV73" s="160">
        <v>0</v>
      </c>
      <c r="BX73" s="161">
        <v>-3418</v>
      </c>
      <c r="BY73" s="160">
        <v>29</v>
      </c>
      <c r="BZ73" s="160">
        <v>0</v>
      </c>
      <c r="CA73" s="160">
        <v>1</v>
      </c>
      <c r="CB73" s="160">
        <v>-1</v>
      </c>
      <c r="CC73" s="160">
        <v>-3391</v>
      </c>
      <c r="CD73" s="160">
        <v>-1524</v>
      </c>
      <c r="CE73" s="116">
        <v>406</v>
      </c>
      <c r="CF73" s="150"/>
      <c r="CG73" s="160">
        <v>-341</v>
      </c>
      <c r="CH73" s="160">
        <v>-13943</v>
      </c>
      <c r="CI73" s="159">
        <v>-4418</v>
      </c>
      <c r="CK73" s="124"/>
      <c r="CL73" s="161"/>
      <c r="CM73" s="124"/>
      <c r="CN73" s="265">
        <v>20.75</v>
      </c>
      <c r="CO73" s="130"/>
      <c r="CP73" s="116">
        <v>266</v>
      </c>
      <c r="CQ73" s="267">
        <v>8696</v>
      </c>
      <c r="CR73" s="124"/>
      <c r="CS73" s="268">
        <v>1.83935852133732</v>
      </c>
      <c r="CT73" s="269">
        <v>72.146429994245494</v>
      </c>
      <c r="CU73" s="160">
        <v>-7355.3357865685375</v>
      </c>
      <c r="CV73" s="130"/>
      <c r="CW73" s="130"/>
      <c r="CX73" s="130"/>
      <c r="CY73" s="269">
        <v>9.5584472151140627</v>
      </c>
      <c r="CZ73" s="125">
        <v>1267.7092916283348</v>
      </c>
      <c r="DA73" s="125">
        <v>35.110731051814099</v>
      </c>
      <c r="DB73" s="273">
        <v>13178.702851885924</v>
      </c>
      <c r="DC73" s="124"/>
      <c r="DD73" s="117">
        <v>55275</v>
      </c>
      <c r="DE73" s="117">
        <v>106252</v>
      </c>
      <c r="DF73" s="117">
        <v>-2</v>
      </c>
      <c r="DG73" s="117">
        <v>-50979</v>
      </c>
      <c r="DH73" s="117">
        <v>31965</v>
      </c>
      <c r="DI73" s="117">
        <v>25715</v>
      </c>
      <c r="DJ73" s="136"/>
      <c r="DL73" s="160">
        <v>-423</v>
      </c>
      <c r="DM73" s="160">
        <v>54</v>
      </c>
      <c r="DN73" s="161">
        <v>6332</v>
      </c>
      <c r="DO73" s="116">
        <v>4511</v>
      </c>
      <c r="DP73" s="160">
        <v>0</v>
      </c>
      <c r="DR73" s="161">
        <v>1821</v>
      </c>
      <c r="DS73" s="116">
        <v>-73</v>
      </c>
      <c r="DT73" s="116">
        <v>0</v>
      </c>
      <c r="DU73" s="116">
        <v>1</v>
      </c>
      <c r="DV73" s="116">
        <v>0</v>
      </c>
      <c r="DW73" s="160">
        <v>1747</v>
      </c>
      <c r="DX73" s="160">
        <v>223</v>
      </c>
      <c r="DY73" s="116">
        <v>5867</v>
      </c>
      <c r="DZ73" s="150"/>
      <c r="EA73" s="116">
        <v>-953</v>
      </c>
      <c r="EB73" s="116">
        <v>-3244</v>
      </c>
      <c r="EC73" s="159">
        <v>1725</v>
      </c>
      <c r="EE73" s="125"/>
      <c r="EF73" s="161"/>
      <c r="EG73" s="124"/>
      <c r="EH73" s="253">
        <v>20.75</v>
      </c>
      <c r="EI73" s="130"/>
      <c r="EJ73" s="125">
        <v>249</v>
      </c>
      <c r="EK73" s="116"/>
      <c r="EL73" s="159"/>
      <c r="EN73" s="116"/>
      <c r="EO73" s="116"/>
      <c r="EP73" s="159"/>
      <c r="EQ73" s="159">
        <v>-3161</v>
      </c>
      <c r="ER73" s="116">
        <v>54</v>
      </c>
      <c r="ES73" s="116">
        <v>1076</v>
      </c>
      <c r="ET73" s="160">
        <v>-5244</v>
      </c>
      <c r="EU73" s="116">
        <v>55</v>
      </c>
      <c r="EV73" s="116">
        <v>365</v>
      </c>
      <c r="EW73" s="160">
        <v>-4581</v>
      </c>
      <c r="EX73" s="160">
        <v>73</v>
      </c>
      <c r="EY73" s="160">
        <v>366</v>
      </c>
      <c r="EZ73" s="116">
        <v>35350</v>
      </c>
      <c r="FA73" s="116">
        <v>-16520</v>
      </c>
      <c r="FB73" s="116">
        <v>10885</v>
      </c>
      <c r="FC73" s="160">
        <v>5965</v>
      </c>
      <c r="FD73" s="116">
        <v>10332</v>
      </c>
      <c r="FE73" s="116">
        <v>-6647</v>
      </c>
      <c r="FF73" s="3">
        <v>62980</v>
      </c>
      <c r="FG73" s="3">
        <v>43622</v>
      </c>
      <c r="FH73" s="3">
        <v>19358</v>
      </c>
      <c r="FI73" s="3">
        <v>3</v>
      </c>
      <c r="FJ73" s="125">
        <v>65888</v>
      </c>
      <c r="FK73" s="160">
        <v>44851</v>
      </c>
      <c r="FL73" s="125">
        <v>21037</v>
      </c>
      <c r="FM73" s="116">
        <v>3</v>
      </c>
      <c r="FN73" s="125">
        <v>66330</v>
      </c>
      <c r="FO73" s="116">
        <v>46970</v>
      </c>
      <c r="FP73" s="116">
        <v>19360</v>
      </c>
      <c r="FQ73" s="116">
        <v>-953</v>
      </c>
      <c r="FR73" s="153">
        <v>49</v>
      </c>
      <c r="FS73" s="153">
        <v>173</v>
      </c>
      <c r="FT73" s="276">
        <v>142</v>
      </c>
      <c r="FU73" s="3">
        <v>5392</v>
      </c>
      <c r="FV73" s="159">
        <v>5765</v>
      </c>
      <c r="FW73" s="170"/>
      <c r="FZ73" s="155"/>
      <c r="GA73" s="2"/>
      <c r="GD73" s="163"/>
      <c r="GE73" s="2"/>
      <c r="GF73" s="2"/>
    </row>
    <row r="74" spans="1:188" ht="14.5" x14ac:dyDescent="0.35">
      <c r="A74" s="72">
        <v>226</v>
      </c>
      <c r="B74" s="70" t="s">
        <v>73</v>
      </c>
      <c r="C74" s="158">
        <v>4031</v>
      </c>
      <c r="D74" s="171"/>
      <c r="E74" s="128">
        <v>3.679218967921897</v>
      </c>
      <c r="F74" s="128">
        <v>53.996641614633432</v>
      </c>
      <c r="G74" s="129">
        <v>-3874.7209129248326</v>
      </c>
      <c r="H74" s="216"/>
      <c r="I74" s="172"/>
      <c r="J74" s="218"/>
      <c r="K74" s="128">
        <v>34.392617190516646</v>
      </c>
      <c r="L74" s="129">
        <v>3186.0580501116351</v>
      </c>
      <c r="M74" s="129">
        <v>72.109509598818605</v>
      </c>
      <c r="N74" s="129">
        <v>16127.015628876208</v>
      </c>
      <c r="O74" s="129"/>
      <c r="P74" s="117">
        <v>33843</v>
      </c>
      <c r="Q74" s="161">
        <v>58799</v>
      </c>
      <c r="R74" s="161">
        <v>0</v>
      </c>
      <c r="S74" s="161">
        <v>-24956</v>
      </c>
      <c r="T74" s="124">
        <v>12013</v>
      </c>
      <c r="U74" s="124">
        <v>15483</v>
      </c>
      <c r="V74" s="136"/>
      <c r="X74" s="116">
        <v>25</v>
      </c>
      <c r="Y74" s="116">
        <v>16</v>
      </c>
      <c r="Z74" s="161">
        <v>2581</v>
      </c>
      <c r="AA74" s="116">
        <v>2604</v>
      </c>
      <c r="AB74" s="116">
        <v>0</v>
      </c>
      <c r="AD74" s="161">
        <v>-23</v>
      </c>
      <c r="AE74" s="116">
        <v>-89</v>
      </c>
      <c r="AF74" s="116">
        <v>0</v>
      </c>
      <c r="AG74" s="116">
        <v>-58</v>
      </c>
      <c r="AH74" s="117">
        <v>14</v>
      </c>
      <c r="AI74" s="160">
        <v>-156</v>
      </c>
      <c r="AJ74" s="161">
        <v>3514</v>
      </c>
      <c r="AK74" s="161">
        <v>2637</v>
      </c>
      <c r="AL74" s="150"/>
      <c r="AM74" s="161">
        <v>-330</v>
      </c>
      <c r="AN74" s="161">
        <v>-660</v>
      </c>
      <c r="AO74" s="160">
        <v>-1468</v>
      </c>
      <c r="AQ74" s="160"/>
      <c r="AR74" s="117"/>
      <c r="AS74" s="117"/>
      <c r="AT74" s="99">
        <v>21</v>
      </c>
      <c r="AU74" s="130"/>
      <c r="AV74" s="262">
        <v>95</v>
      </c>
      <c r="AW74" s="267">
        <v>3949</v>
      </c>
      <c r="AX74" s="124"/>
      <c r="AY74" s="255">
        <v>-4.5246179966044142</v>
      </c>
      <c r="AZ74" s="259">
        <v>55.230623301876179</v>
      </c>
      <c r="BA74" s="160">
        <v>-4572.8032413269184</v>
      </c>
      <c r="BB74" s="130"/>
      <c r="BC74" s="130"/>
      <c r="BD74" s="130"/>
      <c r="BE74" s="128">
        <v>24.502801255270402</v>
      </c>
      <c r="BF74" s="160">
        <v>3245.8850341858702</v>
      </c>
      <c r="BG74" s="129">
        <v>67.149752918427268</v>
      </c>
      <c r="BH74" s="131">
        <v>17679.15928083059</v>
      </c>
      <c r="BI74" s="124"/>
      <c r="BJ74" s="117">
        <v>34343</v>
      </c>
      <c r="BK74" s="117">
        <v>64933</v>
      </c>
      <c r="BL74" s="161">
        <v>0</v>
      </c>
      <c r="BM74" s="161">
        <v>-30590</v>
      </c>
      <c r="BN74" s="117">
        <v>12538</v>
      </c>
      <c r="BO74" s="117">
        <v>15320</v>
      </c>
      <c r="BP74" s="136"/>
      <c r="BR74" s="160">
        <v>16</v>
      </c>
      <c r="BS74" s="160">
        <v>-3</v>
      </c>
      <c r="BT74" s="161">
        <v>-2719</v>
      </c>
      <c r="BU74" s="125">
        <v>2628</v>
      </c>
      <c r="BV74" s="160">
        <v>0</v>
      </c>
      <c r="BX74" s="161">
        <v>-5347</v>
      </c>
      <c r="BY74" s="160">
        <v>-10</v>
      </c>
      <c r="BZ74" s="160">
        <v>0</v>
      </c>
      <c r="CA74" s="161">
        <v>24</v>
      </c>
      <c r="CB74" s="161">
        <v>5</v>
      </c>
      <c r="CC74" s="160">
        <v>-5376</v>
      </c>
      <c r="CD74" s="160">
        <v>-1854</v>
      </c>
      <c r="CE74" s="116">
        <v>1509</v>
      </c>
      <c r="CF74" s="150"/>
      <c r="CG74" s="160">
        <v>1593</v>
      </c>
      <c r="CH74" s="160">
        <v>-535</v>
      </c>
      <c r="CI74" s="159">
        <v>-2540</v>
      </c>
      <c r="CK74" s="124"/>
      <c r="CL74" s="161"/>
      <c r="CM74" s="124"/>
      <c r="CN74" s="265">
        <v>21.5</v>
      </c>
      <c r="CO74" s="130"/>
      <c r="CP74" s="116">
        <v>289</v>
      </c>
      <c r="CQ74" s="267">
        <v>3858</v>
      </c>
      <c r="CR74" s="124"/>
      <c r="CS74" s="268">
        <v>3.9530516431924885</v>
      </c>
      <c r="CT74" s="269">
        <v>56.485041733095748</v>
      </c>
      <c r="CU74" s="160">
        <v>-5258.6832555728352</v>
      </c>
      <c r="CV74" s="130"/>
      <c r="CW74" s="130"/>
      <c r="CX74" s="130"/>
      <c r="CY74" s="269">
        <v>28.911228620682976</v>
      </c>
      <c r="CZ74" s="125">
        <v>3329.9637117677553</v>
      </c>
      <c r="DA74" s="125">
        <v>73.62697839467404</v>
      </c>
      <c r="DB74" s="273">
        <v>16508.035251425612</v>
      </c>
      <c r="DC74" s="124"/>
      <c r="DD74" s="117">
        <v>34039</v>
      </c>
      <c r="DE74" s="117">
        <v>58983</v>
      </c>
      <c r="DF74" s="117">
        <v>0</v>
      </c>
      <c r="DG74" s="117">
        <v>-24944</v>
      </c>
      <c r="DH74" s="117">
        <v>12663</v>
      </c>
      <c r="DI74" s="117">
        <v>17276</v>
      </c>
      <c r="DJ74" s="136"/>
      <c r="DL74" s="160">
        <v>10</v>
      </c>
      <c r="DM74" s="160">
        <v>-5</v>
      </c>
      <c r="DN74" s="161">
        <v>5000</v>
      </c>
      <c r="DO74" s="116">
        <v>2787</v>
      </c>
      <c r="DP74" s="160">
        <v>0</v>
      </c>
      <c r="DR74" s="161">
        <v>2213</v>
      </c>
      <c r="DS74" s="116">
        <v>-49</v>
      </c>
      <c r="DT74" s="116">
        <v>-1</v>
      </c>
      <c r="DU74" s="117">
        <v>46</v>
      </c>
      <c r="DV74" s="117">
        <v>-5</v>
      </c>
      <c r="DW74" s="160">
        <v>2112</v>
      </c>
      <c r="DX74" s="160">
        <v>327</v>
      </c>
      <c r="DY74" s="116">
        <v>757</v>
      </c>
      <c r="DZ74" s="150"/>
      <c r="EA74" s="116">
        <v>795</v>
      </c>
      <c r="EB74" s="116">
        <v>-1226</v>
      </c>
      <c r="EC74" s="159">
        <v>-2104</v>
      </c>
      <c r="EE74" s="125"/>
      <c r="EF74" s="161"/>
      <c r="EG74" s="124"/>
      <c r="EH74" s="254">
        <v>21.5</v>
      </c>
      <c r="EI74" s="130"/>
      <c r="EJ74" s="125">
        <v>53</v>
      </c>
      <c r="EK74" s="116"/>
      <c r="EL74" s="159"/>
      <c r="EN74" s="116"/>
      <c r="EO74" s="116"/>
      <c r="EP74" s="159"/>
      <c r="EQ74" s="159">
        <v>-5420</v>
      </c>
      <c r="ER74" s="116">
        <v>636</v>
      </c>
      <c r="ES74" s="116">
        <v>679</v>
      </c>
      <c r="ET74" s="160">
        <v>-4261</v>
      </c>
      <c r="EU74" s="116">
        <v>0</v>
      </c>
      <c r="EV74" s="116">
        <v>212</v>
      </c>
      <c r="EW74" s="160">
        <v>-3372</v>
      </c>
      <c r="EX74" s="160">
        <v>273</v>
      </c>
      <c r="EY74" s="160">
        <v>238</v>
      </c>
      <c r="EZ74" s="116">
        <v>2210</v>
      </c>
      <c r="FA74" s="116">
        <v>655</v>
      </c>
      <c r="FB74" s="116">
        <v>3809</v>
      </c>
      <c r="FC74" s="160">
        <v>-1006</v>
      </c>
      <c r="FD74" s="116">
        <v>997</v>
      </c>
      <c r="FE74" s="116">
        <v>1530</v>
      </c>
      <c r="FF74" s="3">
        <v>24222</v>
      </c>
      <c r="FG74" s="3">
        <v>9997</v>
      </c>
      <c r="FH74" s="3">
        <v>14225</v>
      </c>
      <c r="FI74" s="3">
        <v>270</v>
      </c>
      <c r="FJ74" s="125">
        <v>26490</v>
      </c>
      <c r="FK74" s="160">
        <v>12988</v>
      </c>
      <c r="FL74" s="125">
        <v>13502</v>
      </c>
      <c r="FM74" s="116">
        <v>262</v>
      </c>
      <c r="FN74" s="125">
        <v>27790</v>
      </c>
      <c r="FO74" s="116">
        <v>13009</v>
      </c>
      <c r="FP74" s="116">
        <v>14781</v>
      </c>
      <c r="FQ74" s="116">
        <v>795</v>
      </c>
      <c r="FR74" s="153">
        <v>5033</v>
      </c>
      <c r="FS74" s="153">
        <v>5646</v>
      </c>
      <c r="FT74" s="276">
        <v>1101</v>
      </c>
      <c r="FU74" s="3">
        <v>3756</v>
      </c>
      <c r="FV74" s="159">
        <v>3373</v>
      </c>
      <c r="FW74" s="170"/>
      <c r="FZ74" s="155"/>
      <c r="GA74" s="2"/>
      <c r="GD74" s="163"/>
      <c r="GE74" s="2"/>
      <c r="GF74" s="2"/>
    </row>
    <row r="75" spans="1:188" ht="14.5" x14ac:dyDescent="0.35">
      <c r="A75" s="72">
        <v>230</v>
      </c>
      <c r="B75" s="70" t="s">
        <v>74</v>
      </c>
      <c r="C75" s="158">
        <v>2390</v>
      </c>
      <c r="D75" s="171"/>
      <c r="E75" s="128">
        <v>2.2742718446601944</v>
      </c>
      <c r="F75" s="128">
        <v>59.348814283367105</v>
      </c>
      <c r="G75" s="129">
        <v>-5952.7196652719667</v>
      </c>
      <c r="H75" s="216"/>
      <c r="I75" s="172"/>
      <c r="J75" s="218"/>
      <c r="K75" s="128">
        <v>44.801508143536687</v>
      </c>
      <c r="L75" s="129">
        <v>1449.3723849372384</v>
      </c>
      <c r="M75" s="129">
        <v>33.486770665042243</v>
      </c>
      <c r="N75" s="129">
        <v>15797.907949790795</v>
      </c>
      <c r="O75" s="129"/>
      <c r="P75" s="117">
        <v>21936</v>
      </c>
      <c r="Q75" s="161">
        <v>34722</v>
      </c>
      <c r="R75" s="161">
        <v>-11</v>
      </c>
      <c r="S75" s="161">
        <v>-12797</v>
      </c>
      <c r="T75" s="124">
        <v>6397</v>
      </c>
      <c r="U75" s="124">
        <v>8185</v>
      </c>
      <c r="V75" s="136"/>
      <c r="X75" s="116">
        <v>-88</v>
      </c>
      <c r="Y75" s="116">
        <v>80</v>
      </c>
      <c r="Z75" s="161">
        <v>1777</v>
      </c>
      <c r="AA75" s="116">
        <v>2482</v>
      </c>
      <c r="AB75" s="116">
        <v>0</v>
      </c>
      <c r="AD75" s="161">
        <v>-705</v>
      </c>
      <c r="AE75" s="117">
        <v>-265</v>
      </c>
      <c r="AF75" s="117">
        <v>0</v>
      </c>
      <c r="AG75" s="116">
        <v>-2</v>
      </c>
      <c r="AH75" s="116">
        <v>-68</v>
      </c>
      <c r="AI75" s="160">
        <v>-1040</v>
      </c>
      <c r="AJ75" s="161">
        <v>12455</v>
      </c>
      <c r="AK75" s="161">
        <v>1375</v>
      </c>
      <c r="AL75" s="150"/>
      <c r="AM75" s="161">
        <v>-353</v>
      </c>
      <c r="AN75" s="161">
        <v>-727</v>
      </c>
      <c r="AO75" s="160">
        <v>-332</v>
      </c>
      <c r="AQ75" s="160"/>
      <c r="AR75" s="117"/>
      <c r="AS75" s="117"/>
      <c r="AT75" s="99">
        <v>20.5</v>
      </c>
      <c r="AU75" s="130"/>
      <c r="AV75" s="262">
        <v>64</v>
      </c>
      <c r="AW75" s="267">
        <v>2342</v>
      </c>
      <c r="AX75" s="124"/>
      <c r="AY75" s="255">
        <v>1.5136778115501519</v>
      </c>
      <c r="AZ75" s="259">
        <v>54.514620202959598</v>
      </c>
      <c r="BA75" s="160">
        <v>-6214.3467122117845</v>
      </c>
      <c r="BB75" s="130"/>
      <c r="BC75" s="130"/>
      <c r="BD75" s="130"/>
      <c r="BE75" s="128">
        <v>52.780316344463969</v>
      </c>
      <c r="BF75" s="160">
        <v>988.47139197267302</v>
      </c>
      <c r="BG75" s="129">
        <v>33.325250395361095</v>
      </c>
      <c r="BH75" s="131">
        <v>16199.829205807002</v>
      </c>
      <c r="BI75" s="124"/>
      <c r="BJ75" s="117">
        <v>21505</v>
      </c>
      <c r="BK75" s="117">
        <v>35107</v>
      </c>
      <c r="BL75" s="161">
        <v>-11</v>
      </c>
      <c r="BM75" s="161">
        <v>-13613</v>
      </c>
      <c r="BN75" s="117">
        <v>6799</v>
      </c>
      <c r="BO75" s="117">
        <v>8255</v>
      </c>
      <c r="BP75" s="136"/>
      <c r="BR75" s="160">
        <v>-80</v>
      </c>
      <c r="BS75" s="160">
        <v>41</v>
      </c>
      <c r="BT75" s="161">
        <v>1402</v>
      </c>
      <c r="BU75" s="125">
        <v>2563</v>
      </c>
      <c r="BV75" s="160">
        <v>0</v>
      </c>
      <c r="BX75" s="161">
        <v>-1161</v>
      </c>
      <c r="BY75" s="161">
        <v>-225</v>
      </c>
      <c r="BZ75" s="160">
        <v>0</v>
      </c>
      <c r="CA75" s="160">
        <v>12</v>
      </c>
      <c r="CB75" s="160">
        <v>-29</v>
      </c>
      <c r="CC75" s="160">
        <v>-1427</v>
      </c>
      <c r="CD75" s="160">
        <v>11183</v>
      </c>
      <c r="CE75" s="116">
        <v>1517</v>
      </c>
      <c r="CF75" s="150"/>
      <c r="CG75" s="161">
        <v>920</v>
      </c>
      <c r="CH75" s="160">
        <v>-895</v>
      </c>
      <c r="CI75" s="159">
        <v>-207</v>
      </c>
      <c r="CK75" s="124"/>
      <c r="CL75" s="161"/>
      <c r="CM75" s="124"/>
      <c r="CN75" s="265">
        <v>20.5</v>
      </c>
      <c r="CO75" s="130"/>
      <c r="CP75" s="116">
        <v>90</v>
      </c>
      <c r="CQ75" s="267">
        <v>2322</v>
      </c>
      <c r="CR75" s="124"/>
      <c r="CS75" s="268">
        <v>4.992957746478873</v>
      </c>
      <c r="CT75" s="269">
        <v>49.908252204495639</v>
      </c>
      <c r="CU75" s="160">
        <v>-5021.1024978466839</v>
      </c>
      <c r="CV75" s="130"/>
      <c r="CW75" s="130"/>
      <c r="CX75" s="130"/>
      <c r="CY75" s="269">
        <v>57.075533162489684</v>
      </c>
      <c r="CZ75" s="125">
        <v>1371.2316968130922</v>
      </c>
      <c r="DA75" s="125">
        <v>30.636368429377338</v>
      </c>
      <c r="DB75" s="273">
        <v>16336.778639104221</v>
      </c>
      <c r="DC75" s="124"/>
      <c r="DD75" s="117">
        <v>22804</v>
      </c>
      <c r="DE75" s="117">
        <v>33096</v>
      </c>
      <c r="DF75" s="117">
        <v>26</v>
      </c>
      <c r="DG75" s="117">
        <v>-10266</v>
      </c>
      <c r="DH75" s="117">
        <v>6892</v>
      </c>
      <c r="DI75" s="117">
        <v>9542</v>
      </c>
      <c r="DJ75" s="136"/>
      <c r="DL75" s="160">
        <v>220</v>
      </c>
      <c r="DM75" s="160">
        <v>-86</v>
      </c>
      <c r="DN75" s="161">
        <v>6302</v>
      </c>
      <c r="DO75" s="116">
        <v>2478</v>
      </c>
      <c r="DP75" s="160">
        <v>0</v>
      </c>
      <c r="DR75" s="161">
        <v>3824</v>
      </c>
      <c r="DS75" s="117">
        <v>-1349</v>
      </c>
      <c r="DT75" s="116">
        <v>0</v>
      </c>
      <c r="DU75" s="116">
        <v>4</v>
      </c>
      <c r="DV75" s="116">
        <v>-32</v>
      </c>
      <c r="DW75" s="160">
        <v>2439</v>
      </c>
      <c r="DX75" s="160">
        <v>14085</v>
      </c>
      <c r="DY75" s="116">
        <v>6236</v>
      </c>
      <c r="DZ75" s="150"/>
      <c r="EA75" s="117">
        <v>-1679</v>
      </c>
      <c r="EB75" s="116">
        <v>-1199</v>
      </c>
      <c r="EC75" s="159">
        <v>2876</v>
      </c>
      <c r="EE75" s="125"/>
      <c r="EF75" s="161"/>
      <c r="EG75" s="124"/>
      <c r="EH75" s="253">
        <v>20.5</v>
      </c>
      <c r="EI75" s="130"/>
      <c r="EJ75" s="125">
        <v>1</v>
      </c>
      <c r="EK75" s="116"/>
      <c r="EL75" s="159"/>
      <c r="EN75" s="116"/>
      <c r="EO75" s="116"/>
      <c r="EP75" s="159"/>
      <c r="EQ75" s="159">
        <v>-2199</v>
      </c>
      <c r="ER75" s="116">
        <v>194</v>
      </c>
      <c r="ES75" s="116">
        <v>298</v>
      </c>
      <c r="ET75" s="160">
        <v>-1839</v>
      </c>
      <c r="EU75" s="116">
        <v>9</v>
      </c>
      <c r="EV75" s="116">
        <v>106</v>
      </c>
      <c r="EW75" s="160">
        <v>-3452</v>
      </c>
      <c r="EX75" s="160">
        <v>7</v>
      </c>
      <c r="EY75" s="160">
        <v>85</v>
      </c>
      <c r="EZ75" s="116">
        <v>197</v>
      </c>
      <c r="FA75" s="116">
        <v>61</v>
      </c>
      <c r="FB75" s="116">
        <v>120</v>
      </c>
      <c r="FC75" s="160">
        <v>-742</v>
      </c>
      <c r="FD75" s="116">
        <v>79</v>
      </c>
      <c r="FE75" s="116">
        <v>465</v>
      </c>
      <c r="FF75" s="3">
        <v>10224</v>
      </c>
      <c r="FG75" s="3">
        <v>7980</v>
      </c>
      <c r="FH75" s="3">
        <v>2244</v>
      </c>
      <c r="FI75" s="3">
        <v>0</v>
      </c>
      <c r="FJ75" s="125">
        <v>8706</v>
      </c>
      <c r="FK75" s="160">
        <v>7200</v>
      </c>
      <c r="FL75" s="125">
        <v>1506</v>
      </c>
      <c r="FM75" s="116">
        <v>0</v>
      </c>
      <c r="FN75" s="125">
        <v>8052</v>
      </c>
      <c r="FO75" s="116">
        <v>6363</v>
      </c>
      <c r="FP75" s="116">
        <v>1689</v>
      </c>
      <c r="FQ75" s="116">
        <v>-1679</v>
      </c>
      <c r="FR75" s="153">
        <v>313</v>
      </c>
      <c r="FS75" s="153">
        <v>261</v>
      </c>
      <c r="FT75" s="276">
        <v>225</v>
      </c>
      <c r="FU75" s="3">
        <v>618</v>
      </c>
      <c r="FV75" s="159">
        <v>700</v>
      </c>
      <c r="FW75" s="170"/>
      <c r="FZ75" s="155"/>
      <c r="GA75" s="2"/>
      <c r="GD75" s="163"/>
      <c r="GE75" s="2"/>
      <c r="GF75" s="2"/>
    </row>
    <row r="76" spans="1:188" ht="14.5" x14ac:dyDescent="0.35">
      <c r="A76" s="72">
        <v>231</v>
      </c>
      <c r="B76" s="70" t="s">
        <v>75</v>
      </c>
      <c r="C76" s="158">
        <v>1262</v>
      </c>
      <c r="D76" s="171"/>
      <c r="E76" s="128">
        <v>0.99051233396584437</v>
      </c>
      <c r="F76" s="128">
        <v>65.806115616397591</v>
      </c>
      <c r="G76" s="129">
        <v>-6018.2250396196514</v>
      </c>
      <c r="H76" s="216"/>
      <c r="I76" s="172"/>
      <c r="J76" s="218"/>
      <c r="K76" s="128">
        <v>54.764562614166834</v>
      </c>
      <c r="L76" s="129">
        <v>170.36450079239302</v>
      </c>
      <c r="M76" s="129">
        <v>5.4629307344239466</v>
      </c>
      <c r="N76" s="129">
        <v>11382.725832012678</v>
      </c>
      <c r="O76" s="129"/>
      <c r="P76" s="117">
        <v>4865</v>
      </c>
      <c r="Q76" s="161">
        <v>12922</v>
      </c>
      <c r="R76" s="161">
        <v>0</v>
      </c>
      <c r="S76" s="161">
        <v>-8057</v>
      </c>
      <c r="T76" s="124">
        <v>6663</v>
      </c>
      <c r="U76" s="124">
        <v>1913</v>
      </c>
      <c r="V76" s="136"/>
      <c r="X76" s="116">
        <v>-55</v>
      </c>
      <c r="Y76" s="116">
        <v>1</v>
      </c>
      <c r="Z76" s="161">
        <v>465</v>
      </c>
      <c r="AA76" s="116">
        <v>1940</v>
      </c>
      <c r="AB76" s="116">
        <v>0</v>
      </c>
      <c r="AD76" s="161">
        <v>-1475</v>
      </c>
      <c r="AE76" s="117">
        <v>0</v>
      </c>
      <c r="AF76" s="117">
        <v>-8</v>
      </c>
      <c r="AG76" s="116">
        <v>0</v>
      </c>
      <c r="AH76" s="116">
        <v>-18</v>
      </c>
      <c r="AI76" s="160">
        <v>-1501</v>
      </c>
      <c r="AJ76" s="161">
        <v>4329</v>
      </c>
      <c r="AK76" s="161">
        <v>-142</v>
      </c>
      <c r="AL76" s="150"/>
      <c r="AM76" s="161">
        <v>-100</v>
      </c>
      <c r="AN76" s="161">
        <v>-470</v>
      </c>
      <c r="AO76" s="160">
        <v>-250</v>
      </c>
      <c r="AQ76" s="160"/>
      <c r="AR76" s="117"/>
      <c r="AS76" s="117"/>
      <c r="AT76" s="99">
        <v>22</v>
      </c>
      <c r="AU76" s="130"/>
      <c r="AV76" s="262">
        <v>191</v>
      </c>
      <c r="AW76" s="267">
        <v>1246</v>
      </c>
      <c r="AX76" s="124"/>
      <c r="AY76" s="255">
        <v>-0.18555417185554171</v>
      </c>
      <c r="AZ76" s="259">
        <v>73.082581718160299</v>
      </c>
      <c r="BA76" s="160">
        <v>-7662.9213483146068</v>
      </c>
      <c r="BB76" s="130"/>
      <c r="BC76" s="130"/>
      <c r="BD76" s="130"/>
      <c r="BE76" s="128">
        <v>45.257349443440205</v>
      </c>
      <c r="BF76" s="160">
        <v>317.01444622792934</v>
      </c>
      <c r="BG76" s="129">
        <v>6.0845514617541046</v>
      </c>
      <c r="BH76" s="131">
        <v>16032.102728731943</v>
      </c>
      <c r="BI76" s="124"/>
      <c r="BJ76" s="117">
        <v>7441</v>
      </c>
      <c r="BK76" s="117">
        <v>16081</v>
      </c>
      <c r="BL76" s="161">
        <v>0</v>
      </c>
      <c r="BM76" s="161">
        <v>-8640</v>
      </c>
      <c r="BN76" s="117">
        <v>6360</v>
      </c>
      <c r="BO76" s="117">
        <v>1832</v>
      </c>
      <c r="BP76" s="136"/>
      <c r="BR76" s="160">
        <v>-74</v>
      </c>
      <c r="BS76" s="160">
        <v>0</v>
      </c>
      <c r="BT76" s="161">
        <v>-522</v>
      </c>
      <c r="BU76" s="125">
        <v>1397</v>
      </c>
      <c r="BV76" s="160">
        <v>-3</v>
      </c>
      <c r="BX76" s="161">
        <v>-1922</v>
      </c>
      <c r="BY76" s="161">
        <v>0</v>
      </c>
      <c r="BZ76" s="161">
        <v>0</v>
      </c>
      <c r="CA76" s="160">
        <v>35</v>
      </c>
      <c r="CB76" s="160">
        <v>6</v>
      </c>
      <c r="CC76" s="160">
        <v>-1951</v>
      </c>
      <c r="CD76" s="160">
        <v>4763</v>
      </c>
      <c r="CE76" s="116">
        <v>-619</v>
      </c>
      <c r="CF76" s="150"/>
      <c r="CG76" s="161">
        <v>-254</v>
      </c>
      <c r="CH76" s="160">
        <v>-2334</v>
      </c>
      <c r="CI76" s="159">
        <v>-1765</v>
      </c>
      <c r="CK76" s="124"/>
      <c r="CL76" s="161"/>
      <c r="CM76" s="124"/>
      <c r="CN76" s="265">
        <v>22</v>
      </c>
      <c r="CO76" s="130"/>
      <c r="CP76" s="116">
        <v>287</v>
      </c>
      <c r="CQ76" s="267">
        <v>1278</v>
      </c>
      <c r="CR76" s="124"/>
      <c r="CS76" s="268">
        <v>0.52605147520401763</v>
      </c>
      <c r="CT76" s="269">
        <v>67.16182232879116</v>
      </c>
      <c r="CU76" s="160">
        <v>-6780.1251956181541</v>
      </c>
      <c r="CV76" s="130"/>
      <c r="CW76" s="130"/>
      <c r="CX76" s="130"/>
      <c r="CY76" s="269">
        <v>45.71721981048406</v>
      </c>
      <c r="CZ76" s="125">
        <v>947.57433489827861</v>
      </c>
      <c r="DA76" s="125">
        <v>23.102231746197671</v>
      </c>
      <c r="DB76" s="273">
        <v>14971.048513302036</v>
      </c>
      <c r="DC76" s="124"/>
      <c r="DD76" s="117">
        <v>8018</v>
      </c>
      <c r="DE76" s="117">
        <v>16271</v>
      </c>
      <c r="DF76" s="117">
        <v>-1</v>
      </c>
      <c r="DG76" s="117">
        <v>-8254</v>
      </c>
      <c r="DH76" s="117">
        <v>6396</v>
      </c>
      <c r="DI76" s="117">
        <v>2685</v>
      </c>
      <c r="DJ76" s="136"/>
      <c r="DL76" s="160">
        <v>-65</v>
      </c>
      <c r="DM76" s="160">
        <v>9</v>
      </c>
      <c r="DN76" s="161">
        <v>771</v>
      </c>
      <c r="DO76" s="116">
        <v>1625</v>
      </c>
      <c r="DP76" s="160">
        <v>22</v>
      </c>
      <c r="DR76" s="161">
        <v>-832</v>
      </c>
      <c r="DS76" s="117">
        <v>0</v>
      </c>
      <c r="DT76" s="117">
        <v>0</v>
      </c>
      <c r="DU76" s="116">
        <v>28</v>
      </c>
      <c r="DV76" s="116">
        <v>-4</v>
      </c>
      <c r="DW76" s="160">
        <v>-864</v>
      </c>
      <c r="DX76" s="160">
        <v>5055</v>
      </c>
      <c r="DY76" s="116">
        <v>734</v>
      </c>
      <c r="DZ76" s="150"/>
      <c r="EA76" s="117">
        <v>-116</v>
      </c>
      <c r="EB76" s="116">
        <v>-1526</v>
      </c>
      <c r="EC76" s="159">
        <v>-346</v>
      </c>
      <c r="EE76" s="125"/>
      <c r="EF76" s="161"/>
      <c r="EG76" s="124"/>
      <c r="EH76" s="253">
        <v>22</v>
      </c>
      <c r="EI76" s="130"/>
      <c r="EJ76" s="125">
        <v>271</v>
      </c>
      <c r="EK76" s="116"/>
      <c r="EL76" s="159"/>
      <c r="EN76" s="116"/>
      <c r="EO76" s="116"/>
      <c r="EP76" s="159"/>
      <c r="EQ76" s="159">
        <v>-909</v>
      </c>
      <c r="ER76" s="116">
        <v>33</v>
      </c>
      <c r="ES76" s="116">
        <v>768</v>
      </c>
      <c r="ET76" s="160">
        <v>-1480</v>
      </c>
      <c r="EU76" s="116">
        <v>14</v>
      </c>
      <c r="EV76" s="116">
        <v>320</v>
      </c>
      <c r="EW76" s="160">
        <v>-1264</v>
      </c>
      <c r="EX76" s="160">
        <v>0</v>
      </c>
      <c r="EY76" s="160">
        <v>184</v>
      </c>
      <c r="EZ76" s="116">
        <v>345</v>
      </c>
      <c r="FA76" s="116">
        <v>86</v>
      </c>
      <c r="FB76" s="116">
        <v>355</v>
      </c>
      <c r="FC76" s="160">
        <v>2840</v>
      </c>
      <c r="FD76" s="116">
        <v>7834</v>
      </c>
      <c r="FE76" s="116">
        <v>-4571</v>
      </c>
      <c r="FF76" s="3">
        <v>5444</v>
      </c>
      <c r="FG76" s="3">
        <v>2898</v>
      </c>
      <c r="FH76" s="3">
        <v>2546</v>
      </c>
      <c r="FI76" s="3">
        <v>0</v>
      </c>
      <c r="FJ76" s="125">
        <v>7840</v>
      </c>
      <c r="FK76" s="160">
        <v>1946</v>
      </c>
      <c r="FL76" s="125">
        <v>5894</v>
      </c>
      <c r="FM76" s="116">
        <v>1</v>
      </c>
      <c r="FN76" s="125">
        <v>9194</v>
      </c>
      <c r="FO76" s="116">
        <v>7888</v>
      </c>
      <c r="FP76" s="116">
        <v>1306</v>
      </c>
      <c r="FQ76" s="116">
        <v>-116</v>
      </c>
      <c r="FR76" s="153">
        <v>0</v>
      </c>
      <c r="FS76" s="153">
        <v>0</v>
      </c>
      <c r="FT76" s="276">
        <v>2100</v>
      </c>
      <c r="FU76" s="3">
        <v>167</v>
      </c>
      <c r="FV76" s="159">
        <v>3677</v>
      </c>
      <c r="FW76" s="170"/>
      <c r="FZ76" s="155"/>
      <c r="GA76" s="2"/>
      <c r="GD76" s="163"/>
      <c r="GE76" s="2"/>
      <c r="GF76" s="2"/>
    </row>
    <row r="77" spans="1:188" ht="14.5" x14ac:dyDescent="0.35">
      <c r="A77" s="72">
        <v>232</v>
      </c>
      <c r="B77" s="70" t="s">
        <v>76</v>
      </c>
      <c r="C77" s="158">
        <v>13375</v>
      </c>
      <c r="D77" s="171"/>
      <c r="E77" s="128">
        <v>0.94944887875332573</v>
      </c>
      <c r="F77" s="128">
        <v>69.249148139791856</v>
      </c>
      <c r="G77" s="129">
        <v>-6345.1962616822429</v>
      </c>
      <c r="H77" s="216"/>
      <c r="I77" s="172"/>
      <c r="J77" s="218"/>
      <c r="K77" s="128">
        <v>25.50820348777216</v>
      </c>
      <c r="L77" s="129">
        <v>1763.2897196261683</v>
      </c>
      <c r="M77" s="129">
        <v>46.626367674141477</v>
      </c>
      <c r="N77" s="129">
        <v>13803.364485981308</v>
      </c>
      <c r="O77" s="129"/>
      <c r="P77" s="117">
        <v>84479</v>
      </c>
      <c r="Q77" s="161">
        <v>166629</v>
      </c>
      <c r="R77" s="161">
        <v>214</v>
      </c>
      <c r="S77" s="161">
        <v>-81936</v>
      </c>
      <c r="T77" s="124">
        <v>44521</v>
      </c>
      <c r="U77" s="124">
        <v>43857</v>
      </c>
      <c r="V77" s="136"/>
      <c r="X77" s="116">
        <v>-961</v>
      </c>
      <c r="Y77" s="116">
        <v>993</v>
      </c>
      <c r="Z77" s="161">
        <v>6474</v>
      </c>
      <c r="AA77" s="116">
        <v>8076</v>
      </c>
      <c r="AB77" s="116">
        <v>0</v>
      </c>
      <c r="AD77" s="161">
        <v>-1602</v>
      </c>
      <c r="AE77" s="117">
        <v>-25</v>
      </c>
      <c r="AF77" s="117">
        <v>-54</v>
      </c>
      <c r="AG77" s="116">
        <v>0</v>
      </c>
      <c r="AH77" s="116">
        <v>-7</v>
      </c>
      <c r="AI77" s="160">
        <v>-1688</v>
      </c>
      <c r="AJ77" s="161">
        <v>-2381</v>
      </c>
      <c r="AK77" s="161">
        <v>6148</v>
      </c>
      <c r="AL77" s="150"/>
      <c r="AM77" s="161">
        <v>3436</v>
      </c>
      <c r="AN77" s="161">
        <v>-6873</v>
      </c>
      <c r="AO77" s="160">
        <v>-2674</v>
      </c>
      <c r="AQ77" s="160"/>
      <c r="AR77" s="117"/>
      <c r="AS77" s="117"/>
      <c r="AT77" s="99">
        <v>22</v>
      </c>
      <c r="AU77" s="130"/>
      <c r="AV77" s="262">
        <v>150</v>
      </c>
      <c r="AW77" s="267">
        <v>13184</v>
      </c>
      <c r="AX77" s="124"/>
      <c r="AY77" s="255">
        <v>1.6886006538015397</v>
      </c>
      <c r="AZ77" s="259">
        <v>77.200180342651038</v>
      </c>
      <c r="BA77" s="160">
        <v>-6755.0060679611652</v>
      </c>
      <c r="BB77" s="130"/>
      <c r="BC77" s="130"/>
      <c r="BD77" s="130"/>
      <c r="BE77" s="128">
        <v>26.179686835162965</v>
      </c>
      <c r="BF77" s="160">
        <v>2712.1510922330099</v>
      </c>
      <c r="BG77" s="129">
        <v>42.881708860128924</v>
      </c>
      <c r="BH77" s="131">
        <v>15226.183252427183</v>
      </c>
      <c r="BI77" s="124"/>
      <c r="BJ77" s="117">
        <v>87691</v>
      </c>
      <c r="BK77" s="117">
        <v>171610</v>
      </c>
      <c r="BL77" s="161">
        <v>192</v>
      </c>
      <c r="BM77" s="161">
        <v>-83727</v>
      </c>
      <c r="BN77" s="117">
        <v>44798</v>
      </c>
      <c r="BO77" s="117">
        <v>44951</v>
      </c>
      <c r="BP77" s="136"/>
      <c r="BR77" s="160">
        <v>-999</v>
      </c>
      <c r="BS77" s="160">
        <v>9984</v>
      </c>
      <c r="BT77" s="161">
        <v>15007</v>
      </c>
      <c r="BU77" s="125">
        <v>8843</v>
      </c>
      <c r="BV77" s="160">
        <v>-80</v>
      </c>
      <c r="BX77" s="161">
        <v>6084</v>
      </c>
      <c r="BY77" s="161">
        <v>2</v>
      </c>
      <c r="BZ77" s="160">
        <v>-65</v>
      </c>
      <c r="CA77" s="160">
        <v>0</v>
      </c>
      <c r="CB77" s="160">
        <v>47</v>
      </c>
      <c r="CC77" s="160">
        <v>6068</v>
      </c>
      <c r="CD77" s="160">
        <v>3425</v>
      </c>
      <c r="CE77" s="116">
        <v>14130</v>
      </c>
      <c r="CF77" s="150"/>
      <c r="CG77" s="160">
        <v>4248</v>
      </c>
      <c r="CH77" s="160">
        <v>-8477</v>
      </c>
      <c r="CI77" s="159">
        <v>-4370</v>
      </c>
      <c r="CK77" s="124"/>
      <c r="CL77" s="161"/>
      <c r="CM77" s="124"/>
      <c r="CN77" s="265">
        <v>22</v>
      </c>
      <c r="CO77" s="130"/>
      <c r="CP77" s="116">
        <v>11</v>
      </c>
      <c r="CQ77" s="267">
        <v>13007</v>
      </c>
      <c r="CR77" s="124"/>
      <c r="CS77" s="268">
        <v>1.2704839226578357</v>
      </c>
      <c r="CT77" s="269">
        <v>76.766766491743823</v>
      </c>
      <c r="CU77" s="160">
        <v>-7188.5907588221726</v>
      </c>
      <c r="CV77" s="130"/>
      <c r="CW77" s="130"/>
      <c r="CX77" s="130"/>
      <c r="CY77" s="269">
        <v>26.387047611094292</v>
      </c>
      <c r="CZ77" s="125">
        <v>2751.9028215576227</v>
      </c>
      <c r="DA77" s="125">
        <v>66.691560446965013</v>
      </c>
      <c r="DB77" s="273">
        <v>15061.044053202122</v>
      </c>
      <c r="DC77" s="124"/>
      <c r="DD77" s="117">
        <v>85698</v>
      </c>
      <c r="DE77" s="117">
        <v>171231</v>
      </c>
      <c r="DF77" s="117">
        <v>187</v>
      </c>
      <c r="DG77" s="117">
        <v>-85346</v>
      </c>
      <c r="DH77" s="117">
        <v>46156</v>
      </c>
      <c r="DI77" s="117">
        <v>50131</v>
      </c>
      <c r="DJ77" s="136"/>
      <c r="DL77" s="160">
        <v>-1075</v>
      </c>
      <c r="DM77" s="160">
        <v>949</v>
      </c>
      <c r="DN77" s="161">
        <v>10815</v>
      </c>
      <c r="DO77" s="116">
        <v>9204</v>
      </c>
      <c r="DP77" s="160">
        <v>0</v>
      </c>
      <c r="DR77" s="161">
        <v>1611</v>
      </c>
      <c r="DS77" s="117">
        <v>-17</v>
      </c>
      <c r="DT77" s="116">
        <v>0</v>
      </c>
      <c r="DU77" s="116">
        <v>0</v>
      </c>
      <c r="DV77" s="116">
        <v>-9</v>
      </c>
      <c r="DW77" s="160">
        <v>1585</v>
      </c>
      <c r="DX77" s="160">
        <v>4778</v>
      </c>
      <c r="DY77" s="116">
        <v>10413</v>
      </c>
      <c r="DZ77" s="150"/>
      <c r="EA77" s="116">
        <v>7840</v>
      </c>
      <c r="EB77" s="116">
        <v>-8283</v>
      </c>
      <c r="EC77" s="159">
        <v>-4014</v>
      </c>
      <c r="EE77" s="125"/>
      <c r="EF77" s="161"/>
      <c r="EG77" s="124"/>
      <c r="EH77" s="253">
        <v>22</v>
      </c>
      <c r="EI77" s="130"/>
      <c r="EJ77" s="125">
        <v>215</v>
      </c>
      <c r="EK77" s="116"/>
      <c r="EL77" s="159"/>
      <c r="EN77" s="116"/>
      <c r="EO77" s="116"/>
      <c r="EP77" s="159"/>
      <c r="EQ77" s="159">
        <v>-9594</v>
      </c>
      <c r="ER77" s="116">
        <v>-6</v>
      </c>
      <c r="ES77" s="116">
        <v>778</v>
      </c>
      <c r="ET77" s="160">
        <v>-19391</v>
      </c>
      <c r="EU77" s="116">
        <v>30</v>
      </c>
      <c r="EV77" s="116">
        <v>861</v>
      </c>
      <c r="EW77" s="160">
        <v>-14696</v>
      </c>
      <c r="EX77" s="160">
        <v>0</v>
      </c>
      <c r="EY77" s="160">
        <v>269</v>
      </c>
      <c r="EZ77" s="116">
        <v>8266</v>
      </c>
      <c r="FA77" s="116">
        <v>-1010</v>
      </c>
      <c r="FB77" s="116">
        <v>20627</v>
      </c>
      <c r="FC77" s="160">
        <v>2809</v>
      </c>
      <c r="FD77" s="116">
        <v>6238</v>
      </c>
      <c r="FE77" s="116">
        <v>4663</v>
      </c>
      <c r="FF77" s="3">
        <v>93478</v>
      </c>
      <c r="FG77" s="3">
        <v>83830</v>
      </c>
      <c r="FH77" s="3">
        <v>9648</v>
      </c>
      <c r="FI77" s="3">
        <v>258</v>
      </c>
      <c r="FJ77" s="125">
        <v>108445</v>
      </c>
      <c r="FK77" s="160">
        <v>95295</v>
      </c>
      <c r="FL77" s="125">
        <v>13150</v>
      </c>
      <c r="FM77" s="116">
        <v>228</v>
      </c>
      <c r="FN77" s="125">
        <v>111062</v>
      </c>
      <c r="FO77" s="116">
        <v>92283</v>
      </c>
      <c r="FP77" s="116">
        <v>18779</v>
      </c>
      <c r="FQ77" s="116">
        <v>7840</v>
      </c>
      <c r="FR77" s="153">
        <v>2740</v>
      </c>
      <c r="FS77" s="153">
        <v>2620</v>
      </c>
      <c r="FT77" s="276">
        <v>2499</v>
      </c>
      <c r="FU77" s="3">
        <v>6874</v>
      </c>
      <c r="FV77" s="159">
        <v>7126</v>
      </c>
      <c r="FW77" s="170"/>
      <c r="FZ77" s="155"/>
      <c r="GA77" s="2"/>
      <c r="GD77" s="163"/>
      <c r="GE77" s="2"/>
      <c r="GF77" s="2"/>
    </row>
    <row r="78" spans="1:188" ht="14.5" x14ac:dyDescent="0.35">
      <c r="A78" s="72">
        <v>233</v>
      </c>
      <c r="B78" s="70" t="s">
        <v>77</v>
      </c>
      <c r="C78" s="158">
        <v>16022</v>
      </c>
      <c r="D78" s="171"/>
      <c r="E78" s="128">
        <v>0.36381360889062198</v>
      </c>
      <c r="F78" s="128">
        <v>68.227717648515835</v>
      </c>
      <c r="G78" s="129">
        <v>-6833.4789664211712</v>
      </c>
      <c r="H78" s="216"/>
      <c r="I78" s="172"/>
      <c r="J78" s="218"/>
      <c r="K78" s="128">
        <v>27.980313939895655</v>
      </c>
      <c r="L78" s="129">
        <v>1889.7141430533018</v>
      </c>
      <c r="M78" s="129">
        <v>42.464072454523794</v>
      </c>
      <c r="N78" s="129">
        <v>16243.040818874046</v>
      </c>
      <c r="O78" s="129"/>
      <c r="P78" s="117">
        <v>119536</v>
      </c>
      <c r="Q78" s="161">
        <v>218741</v>
      </c>
      <c r="R78" s="161">
        <v>53</v>
      </c>
      <c r="S78" s="161">
        <v>-99152</v>
      </c>
      <c r="T78" s="124">
        <v>52045</v>
      </c>
      <c r="U78" s="124">
        <v>54506</v>
      </c>
      <c r="V78" s="136"/>
      <c r="X78" s="116">
        <v>-1112</v>
      </c>
      <c r="Y78" s="116">
        <v>44</v>
      </c>
      <c r="Z78" s="161">
        <v>6331</v>
      </c>
      <c r="AA78" s="116">
        <v>11590</v>
      </c>
      <c r="AB78" s="117">
        <v>0</v>
      </c>
      <c r="AD78" s="161">
        <v>-5259</v>
      </c>
      <c r="AE78" s="116">
        <v>-13</v>
      </c>
      <c r="AF78" s="116">
        <v>646</v>
      </c>
      <c r="AG78" s="116">
        <v>-128</v>
      </c>
      <c r="AH78" s="116">
        <v>-28</v>
      </c>
      <c r="AI78" s="160">
        <v>-4782</v>
      </c>
      <c r="AJ78" s="161">
        <v>20042</v>
      </c>
      <c r="AK78" s="161">
        <v>6333</v>
      </c>
      <c r="AL78" s="150"/>
      <c r="AM78" s="161">
        <v>4016</v>
      </c>
      <c r="AN78" s="161">
        <v>-19383</v>
      </c>
      <c r="AO78" s="160">
        <v>-16041</v>
      </c>
      <c r="AQ78" s="160"/>
      <c r="AR78" s="117"/>
      <c r="AS78" s="117"/>
      <c r="AT78" s="99">
        <v>21.75</v>
      </c>
      <c r="AU78" s="130"/>
      <c r="AV78" s="262">
        <v>184</v>
      </c>
      <c r="AW78" s="267">
        <v>15726</v>
      </c>
      <c r="AX78" s="124"/>
      <c r="AY78" s="255">
        <v>0.46204453441295545</v>
      </c>
      <c r="AZ78" s="259">
        <v>85.0880636330768</v>
      </c>
      <c r="BA78" s="160">
        <v>-7749.9682055195217</v>
      </c>
      <c r="BB78" s="130"/>
      <c r="BC78" s="130"/>
      <c r="BD78" s="130"/>
      <c r="BE78" s="128">
        <v>24.399417343501259</v>
      </c>
      <c r="BF78" s="160">
        <v>1781.635508075798</v>
      </c>
      <c r="BG78" s="129">
        <v>51.292339987689587</v>
      </c>
      <c r="BH78" s="131">
        <v>13843.443978125399</v>
      </c>
      <c r="BI78" s="124"/>
      <c r="BJ78" s="117">
        <v>82398</v>
      </c>
      <c r="BK78" s="117">
        <v>187279</v>
      </c>
      <c r="BL78" s="161">
        <v>34</v>
      </c>
      <c r="BM78" s="161">
        <v>-104847</v>
      </c>
      <c r="BN78" s="117">
        <v>53598</v>
      </c>
      <c r="BO78" s="117">
        <v>57614</v>
      </c>
      <c r="BP78" s="136"/>
      <c r="BR78" s="160">
        <v>-821</v>
      </c>
      <c r="BS78" s="160">
        <v>-89</v>
      </c>
      <c r="BT78" s="161">
        <v>5455</v>
      </c>
      <c r="BU78" s="125">
        <v>14478</v>
      </c>
      <c r="BV78" s="161">
        <v>0</v>
      </c>
      <c r="BX78" s="161">
        <v>-9023</v>
      </c>
      <c r="BY78" s="160">
        <v>148</v>
      </c>
      <c r="BZ78" s="160">
        <v>1888</v>
      </c>
      <c r="CA78" s="160">
        <v>130</v>
      </c>
      <c r="CB78" s="160">
        <v>17</v>
      </c>
      <c r="CC78" s="160">
        <v>-7100</v>
      </c>
      <c r="CD78" s="160">
        <v>10841</v>
      </c>
      <c r="CE78" s="116">
        <v>5378</v>
      </c>
      <c r="CF78" s="150"/>
      <c r="CG78" s="160">
        <v>11005</v>
      </c>
      <c r="CH78" s="160">
        <v>-12896</v>
      </c>
      <c r="CI78" s="159">
        <v>-11436</v>
      </c>
      <c r="CK78" s="124"/>
      <c r="CL78" s="161"/>
      <c r="CM78" s="124"/>
      <c r="CN78" s="265">
        <v>21.75</v>
      </c>
      <c r="CO78" s="130"/>
      <c r="CP78" s="116">
        <v>187</v>
      </c>
      <c r="CQ78" s="267">
        <v>15514</v>
      </c>
      <c r="CR78" s="124"/>
      <c r="CS78" s="268">
        <v>1.3130181634073792</v>
      </c>
      <c r="CT78" s="269">
        <v>87.277239459069563</v>
      </c>
      <c r="CU78" s="160">
        <v>-7911.1770014180738</v>
      </c>
      <c r="CV78" s="130"/>
      <c r="CW78" s="130"/>
      <c r="CX78" s="130"/>
      <c r="CY78" s="269">
        <v>25.665056592891645</v>
      </c>
      <c r="CZ78" s="125">
        <v>2402.6040995230114</v>
      </c>
      <c r="DA78" s="125">
        <v>64.453977383089907</v>
      </c>
      <c r="DB78" s="273">
        <v>13605.83988655408</v>
      </c>
      <c r="DC78" s="124"/>
      <c r="DD78" s="117">
        <v>78880</v>
      </c>
      <c r="DE78" s="117">
        <v>177728</v>
      </c>
      <c r="DF78" s="117">
        <v>24</v>
      </c>
      <c r="DG78" s="117">
        <v>-98824</v>
      </c>
      <c r="DH78" s="117">
        <v>54371</v>
      </c>
      <c r="DI78" s="117">
        <v>65000</v>
      </c>
      <c r="DJ78" s="136"/>
      <c r="DL78" s="160">
        <v>-878</v>
      </c>
      <c r="DM78" s="160">
        <v>44</v>
      </c>
      <c r="DN78" s="161">
        <v>19713</v>
      </c>
      <c r="DO78" s="116">
        <v>12861</v>
      </c>
      <c r="DP78" s="161">
        <v>0</v>
      </c>
      <c r="DR78" s="161">
        <v>6852</v>
      </c>
      <c r="DS78" s="116">
        <v>210</v>
      </c>
      <c r="DT78" s="116">
        <v>240</v>
      </c>
      <c r="DU78" s="116">
        <v>206</v>
      </c>
      <c r="DV78" s="116">
        <v>0</v>
      </c>
      <c r="DW78" s="160">
        <v>7096</v>
      </c>
      <c r="DX78" s="160">
        <v>17658</v>
      </c>
      <c r="DY78" s="116">
        <v>19067</v>
      </c>
      <c r="DZ78" s="150"/>
      <c r="EA78" s="116">
        <v>8012</v>
      </c>
      <c r="EB78" s="116">
        <v>-14767</v>
      </c>
      <c r="EC78" s="159">
        <v>-51</v>
      </c>
      <c r="EE78" s="125"/>
      <c r="EF78" s="161"/>
      <c r="EG78" s="124"/>
      <c r="EH78" s="253">
        <v>21.75</v>
      </c>
      <c r="EI78" s="130"/>
      <c r="EJ78" s="125">
        <v>58</v>
      </c>
      <c r="EK78" s="116"/>
      <c r="EL78" s="159"/>
      <c r="EN78" s="116"/>
      <c r="EO78" s="116"/>
      <c r="EP78" s="159"/>
      <c r="EQ78" s="159">
        <v>-23477</v>
      </c>
      <c r="ER78" s="116">
        <v>306</v>
      </c>
      <c r="ES78" s="116">
        <v>797</v>
      </c>
      <c r="ET78" s="160">
        <v>-18915</v>
      </c>
      <c r="EU78" s="116">
        <v>403</v>
      </c>
      <c r="EV78" s="116">
        <v>1698</v>
      </c>
      <c r="EW78" s="160">
        <v>-19579</v>
      </c>
      <c r="EX78" s="160">
        <v>183</v>
      </c>
      <c r="EY78" s="160">
        <v>278</v>
      </c>
      <c r="EZ78" s="116">
        <v>25049</v>
      </c>
      <c r="FA78" s="116">
        <v>74</v>
      </c>
      <c r="FB78" s="116">
        <v>25441</v>
      </c>
      <c r="FC78" s="160">
        <v>-10025</v>
      </c>
      <c r="FD78" s="116">
        <v>19244</v>
      </c>
      <c r="FE78" s="116">
        <v>2792</v>
      </c>
      <c r="FF78" s="3">
        <v>121585</v>
      </c>
      <c r="FG78" s="3">
        <v>102392</v>
      </c>
      <c r="FH78" s="3">
        <v>19193</v>
      </c>
      <c r="FI78" s="3">
        <v>13</v>
      </c>
      <c r="FJ78" s="125">
        <v>132962</v>
      </c>
      <c r="FK78" s="160">
        <v>116820</v>
      </c>
      <c r="FL78" s="125">
        <v>16142</v>
      </c>
      <c r="FM78" s="116">
        <v>0</v>
      </c>
      <c r="FN78" s="125">
        <v>143576</v>
      </c>
      <c r="FO78" s="116">
        <v>129048</v>
      </c>
      <c r="FP78" s="116">
        <v>14528</v>
      </c>
      <c r="FQ78" s="116">
        <v>8012</v>
      </c>
      <c r="FR78" s="153">
        <v>4876</v>
      </c>
      <c r="FS78" s="153">
        <v>4198</v>
      </c>
      <c r="FT78" s="276">
        <v>3410</v>
      </c>
      <c r="FU78" s="3">
        <v>8026</v>
      </c>
      <c r="FV78" s="159">
        <v>6786</v>
      </c>
      <c r="FW78" s="170"/>
      <c r="FZ78" s="155"/>
      <c r="GA78" s="2"/>
      <c r="GD78" s="163"/>
      <c r="GE78" s="2"/>
      <c r="GF78" s="2"/>
    </row>
    <row r="79" spans="1:188" ht="14.5" x14ac:dyDescent="0.35">
      <c r="A79" s="72">
        <v>235</v>
      </c>
      <c r="B79" s="70" t="s">
        <v>78</v>
      </c>
      <c r="C79" s="158">
        <v>9615</v>
      </c>
      <c r="D79" s="171"/>
      <c r="E79" s="128">
        <v>11.304123711340207</v>
      </c>
      <c r="F79" s="128">
        <v>32.541371592118296</v>
      </c>
      <c r="G79" s="129">
        <v>-1984.2953718148726</v>
      </c>
      <c r="H79" s="216"/>
      <c r="I79" s="172"/>
      <c r="J79" s="218"/>
      <c r="K79" s="128">
        <v>74.248002729366277</v>
      </c>
      <c r="L79" s="129">
        <v>1232.9693187727507</v>
      </c>
      <c r="M79" s="129">
        <v>39.361377942728232</v>
      </c>
      <c r="N79" s="129">
        <v>11433.385335413417</v>
      </c>
      <c r="O79" s="129"/>
      <c r="P79" s="117">
        <v>42147</v>
      </c>
      <c r="Q79" s="161">
        <v>96141</v>
      </c>
      <c r="R79" s="161">
        <v>-5</v>
      </c>
      <c r="S79" s="161">
        <v>-53999</v>
      </c>
      <c r="T79" s="124">
        <v>69149</v>
      </c>
      <c r="U79" s="124">
        <v>-2284</v>
      </c>
      <c r="V79" s="136"/>
      <c r="X79" s="116">
        <v>-90</v>
      </c>
      <c r="Y79" s="116">
        <v>54</v>
      </c>
      <c r="Z79" s="161">
        <v>12830</v>
      </c>
      <c r="AA79" s="116">
        <v>9199</v>
      </c>
      <c r="AB79" s="116">
        <v>0</v>
      </c>
      <c r="AD79" s="161">
        <v>3631</v>
      </c>
      <c r="AE79" s="116">
        <v>0</v>
      </c>
      <c r="AF79" s="116">
        <v>-246</v>
      </c>
      <c r="AG79" s="116">
        <v>-7</v>
      </c>
      <c r="AH79" s="116">
        <v>-61</v>
      </c>
      <c r="AI79" s="160">
        <v>3317</v>
      </c>
      <c r="AJ79" s="161">
        <v>51762</v>
      </c>
      <c r="AK79" s="161">
        <v>10876</v>
      </c>
      <c r="AL79" s="150"/>
      <c r="AM79" s="161">
        <v>-210</v>
      </c>
      <c r="AN79" s="161">
        <v>-836</v>
      </c>
      <c r="AO79" s="160">
        <v>429</v>
      </c>
      <c r="AQ79" s="160"/>
      <c r="AR79" s="117"/>
      <c r="AS79" s="117"/>
      <c r="AT79" s="99">
        <v>17</v>
      </c>
      <c r="AU79" s="130"/>
      <c r="AV79" s="262">
        <v>6</v>
      </c>
      <c r="AW79" s="267">
        <v>9797</v>
      </c>
      <c r="AX79" s="124"/>
      <c r="AY79" s="255">
        <v>7.3516666666666666</v>
      </c>
      <c r="AZ79" s="259">
        <v>37.073081829779476</v>
      </c>
      <c r="BA79" s="160">
        <v>-2534.9596815351642</v>
      </c>
      <c r="BB79" s="130"/>
      <c r="BC79" s="130"/>
      <c r="BD79" s="130"/>
      <c r="BE79" s="128">
        <v>71.419672766534703</v>
      </c>
      <c r="BF79" s="160">
        <v>1031.4381953659283</v>
      </c>
      <c r="BG79" s="129">
        <v>37.136163530108384</v>
      </c>
      <c r="BH79" s="131">
        <v>11894.355414922937</v>
      </c>
      <c r="BI79" s="124"/>
      <c r="BJ79" s="117">
        <v>44611</v>
      </c>
      <c r="BK79" s="117">
        <v>101214</v>
      </c>
      <c r="BL79" s="161">
        <v>6</v>
      </c>
      <c r="BM79" s="161">
        <v>-56597</v>
      </c>
      <c r="BN79" s="117">
        <v>66993</v>
      </c>
      <c r="BO79" s="117">
        <v>-1864</v>
      </c>
      <c r="BP79" s="136"/>
      <c r="BR79" s="160">
        <v>-85</v>
      </c>
      <c r="BS79" s="160">
        <v>53</v>
      </c>
      <c r="BT79" s="161">
        <v>8500</v>
      </c>
      <c r="BU79" s="125">
        <v>9705</v>
      </c>
      <c r="BV79" s="160">
        <v>0</v>
      </c>
      <c r="BX79" s="161">
        <v>-1205</v>
      </c>
      <c r="BY79" s="160">
        <v>-3</v>
      </c>
      <c r="BZ79" s="160">
        <v>-286</v>
      </c>
      <c r="CA79" s="160">
        <v>8</v>
      </c>
      <c r="CB79" s="160">
        <v>-72</v>
      </c>
      <c r="CC79" s="160">
        <v>-1574</v>
      </c>
      <c r="CD79" s="160">
        <v>50406</v>
      </c>
      <c r="CE79" s="116">
        <v>5811</v>
      </c>
      <c r="CF79" s="150"/>
      <c r="CG79" s="160">
        <v>-1124</v>
      </c>
      <c r="CH79" s="160">
        <v>-878</v>
      </c>
      <c r="CI79" s="159">
        <v>-5495</v>
      </c>
      <c r="CK79" s="124"/>
      <c r="CL79" s="161"/>
      <c r="CM79" s="124"/>
      <c r="CN79" s="265">
        <v>17</v>
      </c>
      <c r="CO79" s="130"/>
      <c r="CP79" s="116">
        <v>30</v>
      </c>
      <c r="CQ79" s="267">
        <v>10178</v>
      </c>
      <c r="CR79" s="124"/>
      <c r="CS79" s="268">
        <v>9.4121779859484782</v>
      </c>
      <c r="CT79" s="269">
        <v>37.400763978499221</v>
      </c>
      <c r="CU79" s="160">
        <v>-2153.1735114953822</v>
      </c>
      <c r="CV79" s="130"/>
      <c r="CW79" s="130"/>
      <c r="CX79" s="130"/>
      <c r="CY79" s="269">
        <v>70.116017712216859</v>
      </c>
      <c r="CZ79" s="125">
        <v>1717.6262527019062</v>
      </c>
      <c r="DA79" s="125">
        <v>55.286355444652386</v>
      </c>
      <c r="DB79" s="273">
        <v>11339.752407152682</v>
      </c>
      <c r="DC79" s="124"/>
      <c r="DD79" s="117">
        <v>43479</v>
      </c>
      <c r="DE79" s="117">
        <v>105166</v>
      </c>
      <c r="DF79" s="117">
        <v>-1</v>
      </c>
      <c r="DG79" s="117">
        <v>-61688</v>
      </c>
      <c r="DH79" s="117">
        <v>69215</v>
      </c>
      <c r="DI79" s="117">
        <v>4325</v>
      </c>
      <c r="DJ79" s="136"/>
      <c r="DL79" s="160">
        <v>-70</v>
      </c>
      <c r="DM79" s="160">
        <v>-33</v>
      </c>
      <c r="DN79" s="161">
        <v>11749</v>
      </c>
      <c r="DO79" s="116">
        <v>10709</v>
      </c>
      <c r="DP79" s="160">
        <v>0</v>
      </c>
      <c r="DR79" s="161">
        <v>1040</v>
      </c>
      <c r="DS79" s="116">
        <v>-2</v>
      </c>
      <c r="DT79" s="116">
        <v>130</v>
      </c>
      <c r="DU79" s="116">
        <v>13</v>
      </c>
      <c r="DV79" s="116">
        <v>32</v>
      </c>
      <c r="DW79" s="160">
        <v>1187</v>
      </c>
      <c r="DX79" s="160">
        <v>51476</v>
      </c>
      <c r="DY79" s="116">
        <v>10244</v>
      </c>
      <c r="DZ79" s="150"/>
      <c r="EA79" s="116">
        <v>1427</v>
      </c>
      <c r="EB79" s="116">
        <v>-973</v>
      </c>
      <c r="EC79" s="159">
        <v>2970</v>
      </c>
      <c r="EE79" s="125"/>
      <c r="EF79" s="161"/>
      <c r="EG79" s="124"/>
      <c r="EH79" s="253">
        <v>17</v>
      </c>
      <c r="EI79" s="130"/>
      <c r="EJ79" s="125">
        <v>93</v>
      </c>
      <c r="EK79" s="116"/>
      <c r="EL79" s="159"/>
      <c r="EN79" s="116"/>
      <c r="EO79" s="116"/>
      <c r="EP79" s="159"/>
      <c r="EQ79" s="159">
        <v>-12506</v>
      </c>
      <c r="ER79" s="116">
        <v>22</v>
      </c>
      <c r="ES79" s="116">
        <v>2037</v>
      </c>
      <c r="ET79" s="160">
        <v>-14056</v>
      </c>
      <c r="EU79" s="116">
        <v>14</v>
      </c>
      <c r="EV79" s="116">
        <v>2736</v>
      </c>
      <c r="EW79" s="160">
        <v>-8910</v>
      </c>
      <c r="EX79" s="160">
        <v>58</v>
      </c>
      <c r="EY79" s="160">
        <v>1578</v>
      </c>
      <c r="EZ79" s="116">
        <v>260</v>
      </c>
      <c r="FA79" s="116">
        <v>-1791</v>
      </c>
      <c r="FB79" s="116">
        <v>1610</v>
      </c>
      <c r="FC79" s="160">
        <v>2485</v>
      </c>
      <c r="FD79" s="116">
        <v>2675</v>
      </c>
      <c r="FE79" s="116">
        <v>1743</v>
      </c>
      <c r="FF79" s="3">
        <v>19470</v>
      </c>
      <c r="FG79" s="3">
        <v>18392</v>
      </c>
      <c r="FH79" s="3">
        <v>1078</v>
      </c>
      <c r="FI79" s="3">
        <v>4684</v>
      </c>
      <c r="FJ79" s="125">
        <v>22681</v>
      </c>
      <c r="FK79" s="160">
        <v>19101</v>
      </c>
      <c r="FL79" s="125">
        <v>3580</v>
      </c>
      <c r="FM79" s="116">
        <v>4618</v>
      </c>
      <c r="FN79" s="125">
        <v>26115</v>
      </c>
      <c r="FO79" s="116">
        <v>20805</v>
      </c>
      <c r="FP79" s="116">
        <v>5310</v>
      </c>
      <c r="FQ79" s="116">
        <v>1427</v>
      </c>
      <c r="FR79" s="153">
        <v>2394</v>
      </c>
      <c r="FS79" s="153">
        <v>2162</v>
      </c>
      <c r="FT79" s="276">
        <v>2810</v>
      </c>
      <c r="FU79" s="3">
        <v>4429</v>
      </c>
      <c r="FV79" s="159">
        <v>4939</v>
      </c>
      <c r="FW79" s="170"/>
      <c r="FZ79" s="155"/>
      <c r="GA79" s="2"/>
      <c r="GD79" s="163"/>
      <c r="GE79" s="2"/>
      <c r="GF79" s="2"/>
    </row>
    <row r="80" spans="1:188" ht="14.5" x14ac:dyDescent="0.35">
      <c r="A80" s="72">
        <v>236</v>
      </c>
      <c r="B80" s="70" t="s">
        <v>79</v>
      </c>
      <c r="C80" s="158">
        <v>4273</v>
      </c>
      <c r="D80" s="171"/>
      <c r="E80" s="128">
        <v>0.83264569365652397</v>
      </c>
      <c r="F80" s="128">
        <v>104.62231081173964</v>
      </c>
      <c r="G80" s="129">
        <v>-11886.028551369061</v>
      </c>
      <c r="H80" s="216"/>
      <c r="I80" s="172"/>
      <c r="J80" s="218"/>
      <c r="K80" s="128">
        <v>20.56877123949204</v>
      </c>
      <c r="L80" s="129">
        <v>1476.4802246665108</v>
      </c>
      <c r="M80" s="129">
        <v>35.336131230051564</v>
      </c>
      <c r="N80" s="129">
        <v>15251.111631172478</v>
      </c>
      <c r="O80" s="129"/>
      <c r="P80" s="117">
        <v>31162</v>
      </c>
      <c r="Q80" s="161">
        <v>55132</v>
      </c>
      <c r="R80" s="161">
        <v>120</v>
      </c>
      <c r="S80" s="161">
        <v>-23850</v>
      </c>
      <c r="T80" s="124">
        <v>14057</v>
      </c>
      <c r="U80" s="124">
        <v>12977</v>
      </c>
      <c r="V80" s="136"/>
      <c r="X80" s="116">
        <v>-263</v>
      </c>
      <c r="Y80" s="116">
        <v>-50</v>
      </c>
      <c r="Z80" s="161">
        <v>2871</v>
      </c>
      <c r="AA80" s="116">
        <v>3261</v>
      </c>
      <c r="AB80" s="116">
        <v>-1</v>
      </c>
      <c r="AD80" s="161">
        <v>-391</v>
      </c>
      <c r="AE80" s="116">
        <v>8</v>
      </c>
      <c r="AF80" s="116">
        <v>-76</v>
      </c>
      <c r="AG80" s="116">
        <v>0</v>
      </c>
      <c r="AH80" s="116">
        <v>0</v>
      </c>
      <c r="AI80" s="160">
        <v>-459</v>
      </c>
      <c r="AJ80" s="161">
        <v>3906</v>
      </c>
      <c r="AK80" s="161">
        <v>2085</v>
      </c>
      <c r="AL80" s="150"/>
      <c r="AM80" s="161">
        <v>436</v>
      </c>
      <c r="AN80" s="161">
        <v>-3520</v>
      </c>
      <c r="AO80" s="160">
        <v>-1457</v>
      </c>
      <c r="AQ80" s="160"/>
      <c r="AR80" s="117"/>
      <c r="AS80" s="117"/>
      <c r="AT80" s="99">
        <v>21.5</v>
      </c>
      <c r="AU80" s="130"/>
      <c r="AV80" s="262">
        <v>83</v>
      </c>
      <c r="AW80" s="267">
        <v>4261</v>
      </c>
      <c r="AX80" s="124"/>
      <c r="AY80" s="255">
        <v>0.41277752605346624</v>
      </c>
      <c r="AZ80" s="259">
        <v>113.60182918046954</v>
      </c>
      <c r="BA80" s="160">
        <v>-12491.433935695846</v>
      </c>
      <c r="BB80" s="130"/>
      <c r="BC80" s="130"/>
      <c r="BD80" s="130"/>
      <c r="BE80" s="128">
        <v>19.002506960279167</v>
      </c>
      <c r="BF80" s="160">
        <v>1320.112649612767</v>
      </c>
      <c r="BG80" s="129">
        <v>36.727033492822969</v>
      </c>
      <c r="BH80" s="131">
        <v>14714.855667683642</v>
      </c>
      <c r="BI80" s="124"/>
      <c r="BJ80" s="117">
        <v>28529</v>
      </c>
      <c r="BK80" s="117">
        <v>53879</v>
      </c>
      <c r="BL80" s="161">
        <v>121</v>
      </c>
      <c r="BM80" s="161">
        <v>-25229</v>
      </c>
      <c r="BN80" s="117">
        <v>13851</v>
      </c>
      <c r="BO80" s="117">
        <v>13164</v>
      </c>
      <c r="BP80" s="136"/>
      <c r="BR80" s="160">
        <v>-349</v>
      </c>
      <c r="BS80" s="160">
        <v>8</v>
      </c>
      <c r="BT80" s="161">
        <v>1445</v>
      </c>
      <c r="BU80" s="125">
        <v>3318</v>
      </c>
      <c r="BV80" s="160">
        <v>0</v>
      </c>
      <c r="BX80" s="161">
        <v>-1873</v>
      </c>
      <c r="BY80" s="160">
        <v>-21</v>
      </c>
      <c r="BZ80" s="160">
        <v>4</v>
      </c>
      <c r="CA80" s="160">
        <v>0</v>
      </c>
      <c r="CB80" s="160">
        <v>0</v>
      </c>
      <c r="CC80" s="160">
        <v>-1890</v>
      </c>
      <c r="CD80" s="160">
        <v>2487</v>
      </c>
      <c r="CE80" s="116">
        <v>1090</v>
      </c>
      <c r="CF80" s="150"/>
      <c r="CG80" s="161">
        <v>321</v>
      </c>
      <c r="CH80" s="160">
        <v>-4037</v>
      </c>
      <c r="CI80" s="159">
        <v>-3057</v>
      </c>
      <c r="CK80" s="124"/>
      <c r="CL80" s="161"/>
      <c r="CM80" s="124"/>
      <c r="CN80" s="265">
        <v>21.5</v>
      </c>
      <c r="CO80" s="130"/>
      <c r="CP80" s="116">
        <v>188</v>
      </c>
      <c r="CQ80" s="267">
        <v>4228</v>
      </c>
      <c r="CR80" s="124"/>
      <c r="CS80" s="268">
        <v>1.2947745469869363</v>
      </c>
      <c r="CT80" s="269">
        <v>109.38473453231219</v>
      </c>
      <c r="CU80" s="160">
        <v>-12230.132450331126</v>
      </c>
      <c r="CV80" s="130"/>
      <c r="CW80" s="130"/>
      <c r="CX80" s="130"/>
      <c r="CY80" s="269">
        <v>20.983442169882849</v>
      </c>
      <c r="CZ80" s="125">
        <v>1814.8060548722799</v>
      </c>
      <c r="DA80" s="125">
        <v>45.780126193278413</v>
      </c>
      <c r="DB80" s="273">
        <v>14469.252601702934</v>
      </c>
      <c r="DC80" s="124"/>
      <c r="DD80" s="117">
        <v>27057</v>
      </c>
      <c r="DE80" s="117">
        <v>52117</v>
      </c>
      <c r="DF80" s="117">
        <v>120</v>
      </c>
      <c r="DG80" s="117">
        <v>-24940</v>
      </c>
      <c r="DH80" s="117">
        <v>14546</v>
      </c>
      <c r="DI80" s="117">
        <v>16502</v>
      </c>
      <c r="DJ80" s="136"/>
      <c r="DL80" s="160">
        <v>-335</v>
      </c>
      <c r="DM80" s="160">
        <v>15</v>
      </c>
      <c r="DN80" s="161">
        <v>5788</v>
      </c>
      <c r="DO80" s="116">
        <v>3656</v>
      </c>
      <c r="DP80" s="160">
        <v>0</v>
      </c>
      <c r="DR80" s="161">
        <v>2132</v>
      </c>
      <c r="DS80" s="116">
        <v>-7</v>
      </c>
      <c r="DT80" s="116">
        <v>-39</v>
      </c>
      <c r="DU80" s="116">
        <v>1</v>
      </c>
      <c r="DV80" s="116">
        <v>0</v>
      </c>
      <c r="DW80" s="160">
        <v>2085</v>
      </c>
      <c r="DX80" s="160">
        <v>4624</v>
      </c>
      <c r="DY80" s="116">
        <v>5771</v>
      </c>
      <c r="DZ80" s="150"/>
      <c r="EA80" s="117">
        <v>80</v>
      </c>
      <c r="EB80" s="116">
        <v>-4389</v>
      </c>
      <c r="EC80" s="159">
        <v>1629</v>
      </c>
      <c r="EE80" s="125"/>
      <c r="EF80" s="161"/>
      <c r="EG80" s="124"/>
      <c r="EH80" s="253">
        <v>22</v>
      </c>
      <c r="EI80" s="130"/>
      <c r="EJ80" s="125">
        <v>41</v>
      </c>
      <c r="EK80" s="116"/>
      <c r="EL80" s="159"/>
      <c r="EN80" s="116"/>
      <c r="EO80" s="116"/>
      <c r="EP80" s="159"/>
      <c r="EQ80" s="159">
        <v>-6061</v>
      </c>
      <c r="ER80" s="116">
        <v>49</v>
      </c>
      <c r="ES80" s="116">
        <v>2470</v>
      </c>
      <c r="ET80" s="160">
        <v>-4357</v>
      </c>
      <c r="EU80" s="116">
        <v>15</v>
      </c>
      <c r="EV80" s="116">
        <v>195</v>
      </c>
      <c r="EW80" s="160">
        <v>-4260</v>
      </c>
      <c r="EX80" s="160">
        <v>25</v>
      </c>
      <c r="EY80" s="160">
        <v>93</v>
      </c>
      <c r="EZ80" s="116">
        <v>4999</v>
      </c>
      <c r="FA80" s="116">
        <v>-9</v>
      </c>
      <c r="FB80" s="116">
        <v>2264</v>
      </c>
      <c r="FC80" s="160">
        <v>3075</v>
      </c>
      <c r="FD80" s="116">
        <v>3452</v>
      </c>
      <c r="FE80" s="116">
        <v>-6027</v>
      </c>
      <c r="FF80" s="3">
        <v>49632</v>
      </c>
      <c r="FG80" s="3">
        <v>41788</v>
      </c>
      <c r="FH80" s="3">
        <v>7844</v>
      </c>
      <c r="FI80" s="3">
        <v>22</v>
      </c>
      <c r="FJ80" s="125">
        <v>50818</v>
      </c>
      <c r="FK80" s="160">
        <v>40575</v>
      </c>
      <c r="FL80" s="125">
        <v>10243</v>
      </c>
      <c r="FM80" s="116">
        <v>281</v>
      </c>
      <c r="FN80" s="125">
        <v>51854</v>
      </c>
      <c r="FO80" s="116">
        <v>47785</v>
      </c>
      <c r="FP80" s="116">
        <v>4069</v>
      </c>
      <c r="FQ80" s="116">
        <v>80</v>
      </c>
      <c r="FR80" s="153">
        <v>1631</v>
      </c>
      <c r="FS80" s="153">
        <v>1480</v>
      </c>
      <c r="FT80" s="276">
        <v>1404</v>
      </c>
      <c r="FU80" s="3">
        <v>1168</v>
      </c>
      <c r="FV80" s="159">
        <v>1141</v>
      </c>
      <c r="FW80" s="170"/>
      <c r="FZ80" s="155"/>
      <c r="GA80" s="2"/>
      <c r="GD80" s="163"/>
      <c r="GE80" s="2"/>
      <c r="GF80" s="2"/>
    </row>
    <row r="81" spans="1:188" ht="14.5" x14ac:dyDescent="0.35">
      <c r="A81" s="72">
        <v>239</v>
      </c>
      <c r="B81" s="70" t="s">
        <v>80</v>
      </c>
      <c r="C81" s="158">
        <v>2244</v>
      </c>
      <c r="D81" s="171"/>
      <c r="E81" s="128">
        <v>0.64130434782608692</v>
      </c>
      <c r="F81" s="128">
        <v>78.283593999361628</v>
      </c>
      <c r="G81" s="129">
        <v>-7068.181818181818</v>
      </c>
      <c r="H81" s="216"/>
      <c r="I81" s="172"/>
      <c r="J81" s="218"/>
      <c r="K81" s="128">
        <v>27.010465436518864</v>
      </c>
      <c r="L81" s="129">
        <v>907.75401069518716</v>
      </c>
      <c r="M81" s="129">
        <v>27.405270917803168</v>
      </c>
      <c r="N81" s="129">
        <v>12090.017825311943</v>
      </c>
      <c r="O81" s="129"/>
      <c r="P81" s="117">
        <v>10247</v>
      </c>
      <c r="Q81" s="161">
        <v>24712</v>
      </c>
      <c r="R81" s="161">
        <v>22</v>
      </c>
      <c r="S81" s="161">
        <v>-14443</v>
      </c>
      <c r="T81" s="124">
        <v>6874</v>
      </c>
      <c r="U81" s="124">
        <v>7943</v>
      </c>
      <c r="V81" s="136"/>
      <c r="X81" s="116">
        <v>-84</v>
      </c>
      <c r="Y81" s="116">
        <v>213</v>
      </c>
      <c r="Z81" s="161">
        <v>503</v>
      </c>
      <c r="AA81" s="116">
        <v>1150</v>
      </c>
      <c r="AB81" s="117">
        <v>-26</v>
      </c>
      <c r="AD81" s="161">
        <v>-673</v>
      </c>
      <c r="AE81" s="116">
        <v>1</v>
      </c>
      <c r="AF81" s="116">
        <v>5</v>
      </c>
      <c r="AG81" s="116">
        <v>0</v>
      </c>
      <c r="AH81" s="116">
        <v>-1</v>
      </c>
      <c r="AI81" s="160">
        <v>-668</v>
      </c>
      <c r="AJ81" s="161">
        <v>-1456</v>
      </c>
      <c r="AK81" s="161">
        <v>487</v>
      </c>
      <c r="AL81" s="150"/>
      <c r="AM81" s="161">
        <v>54</v>
      </c>
      <c r="AN81" s="161">
        <v>-833</v>
      </c>
      <c r="AO81" s="160">
        <v>-862</v>
      </c>
      <c r="AQ81" s="160"/>
      <c r="AR81" s="117"/>
      <c r="AS81" s="117"/>
      <c r="AT81" s="99">
        <v>20.5</v>
      </c>
      <c r="AU81" s="130"/>
      <c r="AV81" s="262">
        <v>244</v>
      </c>
      <c r="AW81" s="267">
        <v>2202</v>
      </c>
      <c r="AX81" s="124"/>
      <c r="AY81" s="255">
        <v>6.8681318681318677</v>
      </c>
      <c r="AZ81" s="259">
        <v>77.610713027134963</v>
      </c>
      <c r="BA81" s="160">
        <v>-7253.4059945504086</v>
      </c>
      <c r="BB81" s="130"/>
      <c r="BC81" s="130"/>
      <c r="BD81" s="130"/>
      <c r="BE81" s="128">
        <v>30.651457029409784</v>
      </c>
      <c r="BF81" s="160">
        <v>852.86103542234332</v>
      </c>
      <c r="BG81" s="129">
        <v>27.617558445520764</v>
      </c>
      <c r="BH81" s="131">
        <v>11907.811080835603</v>
      </c>
      <c r="BI81" s="124"/>
      <c r="BJ81" s="117">
        <v>9713</v>
      </c>
      <c r="BK81" s="117">
        <v>23896</v>
      </c>
      <c r="BL81" s="161">
        <v>16</v>
      </c>
      <c r="BM81" s="161">
        <v>-14167</v>
      </c>
      <c r="BN81" s="117">
        <v>7134</v>
      </c>
      <c r="BO81" s="117">
        <v>8692</v>
      </c>
      <c r="BP81" s="136"/>
      <c r="BR81" s="160">
        <v>-106</v>
      </c>
      <c r="BS81" s="160">
        <v>209</v>
      </c>
      <c r="BT81" s="161">
        <v>1762</v>
      </c>
      <c r="BU81" s="125">
        <v>1192</v>
      </c>
      <c r="BV81" s="161">
        <v>-181</v>
      </c>
      <c r="BW81" s="117"/>
      <c r="BX81" s="161">
        <v>389</v>
      </c>
      <c r="BY81" s="160">
        <v>-9</v>
      </c>
      <c r="BZ81" s="160">
        <v>1</v>
      </c>
      <c r="CA81" s="160">
        <v>3</v>
      </c>
      <c r="CB81" s="160">
        <v>-8</v>
      </c>
      <c r="CC81" s="160">
        <v>370</v>
      </c>
      <c r="CD81" s="160">
        <v>-1014</v>
      </c>
      <c r="CE81" s="116">
        <v>1634</v>
      </c>
      <c r="CF81" s="150"/>
      <c r="CG81" s="161">
        <v>-193</v>
      </c>
      <c r="CH81" s="160">
        <v>-160</v>
      </c>
      <c r="CI81" s="159">
        <v>-239</v>
      </c>
      <c r="CK81" s="124"/>
      <c r="CL81" s="161"/>
      <c r="CM81" s="124"/>
      <c r="CN81" s="265">
        <v>20.5</v>
      </c>
      <c r="CO81" s="130"/>
      <c r="CP81" s="116">
        <v>40</v>
      </c>
      <c r="CQ81" s="267">
        <v>2155</v>
      </c>
      <c r="CR81" s="124"/>
      <c r="CS81" s="268">
        <v>3.6472795497185739</v>
      </c>
      <c r="CT81" s="269">
        <v>72.48040208544316</v>
      </c>
      <c r="CU81" s="160">
        <v>-6911.8329466357309</v>
      </c>
      <c r="CV81" s="130"/>
      <c r="CW81" s="130"/>
      <c r="CX81" s="130"/>
      <c r="CY81" s="269">
        <v>32.174910587758959</v>
      </c>
      <c r="CZ81" s="125">
        <v>1173.5498839907193</v>
      </c>
      <c r="DA81" s="125">
        <v>34.254304586611248</v>
      </c>
      <c r="DB81" s="273">
        <v>12504.872389791182</v>
      </c>
      <c r="DC81" s="124"/>
      <c r="DD81" s="117">
        <v>9861</v>
      </c>
      <c r="DE81" s="117">
        <v>24955</v>
      </c>
      <c r="DF81" s="117">
        <v>43</v>
      </c>
      <c r="DG81" s="117">
        <v>-15051</v>
      </c>
      <c r="DH81" s="117">
        <v>7469</v>
      </c>
      <c r="DI81" s="117">
        <v>9331</v>
      </c>
      <c r="DJ81" s="136"/>
      <c r="DL81" s="160">
        <v>-94</v>
      </c>
      <c r="DM81" s="160">
        <v>190</v>
      </c>
      <c r="DN81" s="161">
        <v>1845</v>
      </c>
      <c r="DO81" s="116">
        <v>1181</v>
      </c>
      <c r="DP81" s="161">
        <v>-1</v>
      </c>
      <c r="DQ81" s="117"/>
      <c r="DR81" s="161">
        <v>663</v>
      </c>
      <c r="DS81" s="116">
        <v>-3</v>
      </c>
      <c r="DT81" s="116">
        <v>0</v>
      </c>
      <c r="DU81" s="116">
        <v>2</v>
      </c>
      <c r="DV81" s="116">
        <v>-4</v>
      </c>
      <c r="DW81" s="160">
        <v>654</v>
      </c>
      <c r="DX81" s="160">
        <v>-106</v>
      </c>
      <c r="DY81" s="116">
        <v>1692</v>
      </c>
      <c r="DZ81" s="150"/>
      <c r="EA81" s="117">
        <v>69</v>
      </c>
      <c r="EB81" s="116">
        <v>-434</v>
      </c>
      <c r="EC81" s="159">
        <v>577</v>
      </c>
      <c r="EE81" s="125"/>
      <c r="EF81" s="161"/>
      <c r="EG81" s="124"/>
      <c r="EH81" s="253">
        <v>20.5</v>
      </c>
      <c r="EI81" s="130"/>
      <c r="EJ81" s="125">
        <v>207</v>
      </c>
      <c r="EK81" s="116"/>
      <c r="EL81" s="159"/>
      <c r="EN81" s="116"/>
      <c r="EO81" s="116"/>
      <c r="EP81" s="159"/>
      <c r="EQ81" s="159">
        <v>-1454</v>
      </c>
      <c r="ER81" s="116">
        <v>10</v>
      </c>
      <c r="ES81" s="116">
        <v>95</v>
      </c>
      <c r="ET81" s="160">
        <v>-2006</v>
      </c>
      <c r="EU81" s="116">
        <v>81</v>
      </c>
      <c r="EV81" s="116">
        <v>52</v>
      </c>
      <c r="EW81" s="160">
        <v>-1434</v>
      </c>
      <c r="EX81" s="160">
        <v>100</v>
      </c>
      <c r="EY81" s="160">
        <v>219</v>
      </c>
      <c r="EZ81" s="116">
        <v>3992</v>
      </c>
      <c r="FA81" s="116">
        <v>-1250</v>
      </c>
      <c r="FB81" s="116">
        <v>336</v>
      </c>
      <c r="FC81" s="160">
        <v>-281</v>
      </c>
      <c r="FD81" s="116">
        <v>408</v>
      </c>
      <c r="FE81" s="116">
        <v>-1</v>
      </c>
      <c r="FF81" s="3">
        <v>19621</v>
      </c>
      <c r="FG81" s="3">
        <v>12024</v>
      </c>
      <c r="FH81" s="3">
        <v>7597</v>
      </c>
      <c r="FI81" s="3">
        <v>3</v>
      </c>
      <c r="FJ81" s="125">
        <v>19909</v>
      </c>
      <c r="FK81" s="160">
        <v>11945</v>
      </c>
      <c r="FL81" s="125">
        <v>7964</v>
      </c>
      <c r="FM81" s="116">
        <v>0</v>
      </c>
      <c r="FN81" s="125">
        <v>19405</v>
      </c>
      <c r="FO81" s="116">
        <v>11556</v>
      </c>
      <c r="FP81" s="116">
        <v>7849</v>
      </c>
      <c r="FQ81" s="116">
        <v>69</v>
      </c>
      <c r="FR81" s="153">
        <v>1673</v>
      </c>
      <c r="FS81" s="153">
        <v>911</v>
      </c>
      <c r="FT81" s="276">
        <v>869</v>
      </c>
      <c r="FU81" s="3">
        <v>726</v>
      </c>
      <c r="FV81" s="159">
        <v>972</v>
      </c>
      <c r="FW81" s="170"/>
      <c r="FZ81" s="155"/>
      <c r="GA81" s="2"/>
      <c r="GD81" s="163"/>
      <c r="GE81" s="2"/>
      <c r="GF81" s="2"/>
    </row>
    <row r="82" spans="1:188" ht="14.5" x14ac:dyDescent="0.35">
      <c r="A82" s="72">
        <v>240</v>
      </c>
      <c r="B82" s="70" t="s">
        <v>81</v>
      </c>
      <c r="C82" s="158">
        <v>21021</v>
      </c>
      <c r="D82" s="171"/>
      <c r="E82" s="128">
        <v>0.35328674161855567</v>
      </c>
      <c r="F82" s="128">
        <v>72.083474748143672</v>
      </c>
      <c r="G82" s="129">
        <v>-6611.245896960183</v>
      </c>
      <c r="H82" s="216"/>
      <c r="I82" s="172"/>
      <c r="J82" s="218"/>
      <c r="K82" s="128">
        <v>27.443614780777331</v>
      </c>
      <c r="L82" s="129">
        <v>824.41368155653868</v>
      </c>
      <c r="M82" s="129">
        <v>21.957192595138174</v>
      </c>
      <c r="N82" s="129">
        <v>13704.438418724132</v>
      </c>
      <c r="O82" s="129"/>
      <c r="P82" s="117">
        <v>111044</v>
      </c>
      <c r="Q82" s="161">
        <v>231676</v>
      </c>
      <c r="R82" s="161">
        <v>132</v>
      </c>
      <c r="S82" s="161">
        <v>-120500</v>
      </c>
      <c r="T82" s="124">
        <v>85711</v>
      </c>
      <c r="U82" s="124">
        <v>44851</v>
      </c>
      <c r="V82" s="136"/>
      <c r="X82" s="116">
        <v>-1435</v>
      </c>
      <c r="Y82" s="116">
        <v>331</v>
      </c>
      <c r="Z82" s="161">
        <v>8958</v>
      </c>
      <c r="AA82" s="116">
        <v>13615</v>
      </c>
      <c r="AB82" s="117">
        <v>35</v>
      </c>
      <c r="AD82" s="161">
        <v>-4622</v>
      </c>
      <c r="AE82" s="116">
        <v>-26</v>
      </c>
      <c r="AF82" s="116">
        <v>-54</v>
      </c>
      <c r="AG82" s="116">
        <v>-1219</v>
      </c>
      <c r="AH82" s="117">
        <v>-79</v>
      </c>
      <c r="AI82" s="160">
        <v>-6000</v>
      </c>
      <c r="AJ82" s="161">
        <v>-1332</v>
      </c>
      <c r="AK82" s="161">
        <v>7902</v>
      </c>
      <c r="AL82" s="150"/>
      <c r="AM82" s="161">
        <v>998</v>
      </c>
      <c r="AN82" s="161">
        <v>-28113</v>
      </c>
      <c r="AO82" s="160">
        <v>-13395</v>
      </c>
      <c r="AQ82" s="160"/>
      <c r="AR82" s="117"/>
      <c r="AS82" s="117"/>
      <c r="AT82" s="99">
        <v>21.75</v>
      </c>
      <c r="AU82" s="130"/>
      <c r="AV82" s="262">
        <v>171</v>
      </c>
      <c r="AW82" s="267">
        <v>20707</v>
      </c>
      <c r="AX82" s="124"/>
      <c r="AY82" s="255">
        <v>0.58788486164467457</v>
      </c>
      <c r="AZ82" s="259">
        <v>78.838565286530425</v>
      </c>
      <c r="BA82" s="160">
        <v>-7059.9314241560824</v>
      </c>
      <c r="BB82" s="130"/>
      <c r="BC82" s="130"/>
      <c r="BD82" s="130"/>
      <c r="BE82" s="128">
        <v>25.028358751176981</v>
      </c>
      <c r="BF82" s="160">
        <v>969.67209156323952</v>
      </c>
      <c r="BG82" s="129">
        <v>23.18515681409183</v>
      </c>
      <c r="BH82" s="131">
        <v>13176.172308881056</v>
      </c>
      <c r="BI82" s="124"/>
      <c r="BJ82" s="117">
        <v>107533</v>
      </c>
      <c r="BK82" s="117">
        <v>233851</v>
      </c>
      <c r="BL82" s="161">
        <v>67</v>
      </c>
      <c r="BM82" s="161">
        <v>-126251</v>
      </c>
      <c r="BN82" s="117">
        <v>86080</v>
      </c>
      <c r="BO82" s="117">
        <v>44093</v>
      </c>
      <c r="BP82" s="136"/>
      <c r="BR82" s="160">
        <v>-1118</v>
      </c>
      <c r="BS82" s="160">
        <v>6510</v>
      </c>
      <c r="BT82" s="161">
        <v>9314</v>
      </c>
      <c r="BU82" s="125">
        <v>12453</v>
      </c>
      <c r="BV82" s="161">
        <v>0</v>
      </c>
      <c r="BX82" s="161">
        <v>-3139</v>
      </c>
      <c r="BY82" s="160">
        <v>-6</v>
      </c>
      <c r="BZ82" s="160">
        <v>3014</v>
      </c>
      <c r="CA82" s="161">
        <v>613</v>
      </c>
      <c r="CB82" s="161">
        <v>12</v>
      </c>
      <c r="CC82" s="160">
        <v>-732</v>
      </c>
      <c r="CD82" s="160">
        <v>-2970</v>
      </c>
      <c r="CE82" s="116">
        <v>9090</v>
      </c>
      <c r="CF82" s="150"/>
      <c r="CG82" s="161">
        <v>-147</v>
      </c>
      <c r="CH82" s="160">
        <v>-16716</v>
      </c>
      <c r="CI82" s="159">
        <v>-10551</v>
      </c>
      <c r="CK82" s="124"/>
      <c r="CL82" s="161"/>
      <c r="CM82" s="124"/>
      <c r="CN82" s="265">
        <v>21.75</v>
      </c>
      <c r="CO82" s="130"/>
      <c r="CP82" s="116">
        <v>141</v>
      </c>
      <c r="CQ82" s="267">
        <v>20437</v>
      </c>
      <c r="CR82" s="124"/>
      <c r="CS82" s="268">
        <v>1.1407548712358633</v>
      </c>
      <c r="CT82" s="269">
        <v>79.080783562400043</v>
      </c>
      <c r="CU82" s="160">
        <v>-7689.7783432010565</v>
      </c>
      <c r="CV82" s="130"/>
      <c r="CW82" s="130"/>
      <c r="CX82" s="130"/>
      <c r="CY82" s="269">
        <v>24.451745647653755</v>
      </c>
      <c r="CZ82" s="125">
        <v>1046.7289719626167</v>
      </c>
      <c r="DA82" s="125">
        <v>29.224371858356069</v>
      </c>
      <c r="DB82" s="273">
        <v>13073.200567597985</v>
      </c>
      <c r="DC82" s="124"/>
      <c r="DD82" s="117">
        <v>102685</v>
      </c>
      <c r="DE82" s="117">
        <v>229737</v>
      </c>
      <c r="DF82" s="117">
        <v>97</v>
      </c>
      <c r="DG82" s="117">
        <v>-126955</v>
      </c>
      <c r="DH82" s="117">
        <v>87774</v>
      </c>
      <c r="DI82" s="117">
        <v>55903</v>
      </c>
      <c r="DJ82" s="136"/>
      <c r="DL82" s="160">
        <v>-894</v>
      </c>
      <c r="DM82" s="160">
        <v>-62</v>
      </c>
      <c r="DN82" s="161">
        <v>15766</v>
      </c>
      <c r="DO82" s="116">
        <v>14798</v>
      </c>
      <c r="DP82" s="161">
        <v>-10</v>
      </c>
      <c r="DR82" s="161">
        <v>958</v>
      </c>
      <c r="DS82" s="116">
        <v>-35</v>
      </c>
      <c r="DT82" s="116">
        <v>-119</v>
      </c>
      <c r="DU82" s="117">
        <v>27</v>
      </c>
      <c r="DV82" s="117">
        <v>-379</v>
      </c>
      <c r="DW82" s="160">
        <v>398</v>
      </c>
      <c r="DX82" s="160">
        <v>-2208</v>
      </c>
      <c r="DY82" s="116">
        <v>14315</v>
      </c>
      <c r="DZ82" s="150"/>
      <c r="EA82" s="117">
        <v>3285</v>
      </c>
      <c r="EB82" s="116">
        <v>-13700</v>
      </c>
      <c r="EC82" s="159">
        <v>-7650</v>
      </c>
      <c r="EE82" s="125"/>
      <c r="EF82" s="161"/>
      <c r="EG82" s="124"/>
      <c r="EH82" s="253">
        <v>21.75</v>
      </c>
      <c r="EI82" s="130"/>
      <c r="EJ82" s="125">
        <v>231</v>
      </c>
      <c r="EK82" s="116"/>
      <c r="EL82" s="159"/>
      <c r="EN82" s="116"/>
      <c r="EO82" s="116"/>
      <c r="EP82" s="159"/>
      <c r="EQ82" s="159">
        <v>-26743</v>
      </c>
      <c r="ER82" s="116">
        <v>174</v>
      </c>
      <c r="ES82" s="116">
        <v>5272</v>
      </c>
      <c r="ET82" s="160">
        <v>-21034</v>
      </c>
      <c r="EU82" s="116">
        <v>417</v>
      </c>
      <c r="EV82" s="116">
        <v>976</v>
      </c>
      <c r="EW82" s="160">
        <v>-22596</v>
      </c>
      <c r="EX82" s="160">
        <v>319</v>
      </c>
      <c r="EY82" s="160">
        <v>312</v>
      </c>
      <c r="EZ82" s="116">
        <v>25612</v>
      </c>
      <c r="FA82" s="116">
        <v>12569</v>
      </c>
      <c r="FB82" s="116">
        <v>19419</v>
      </c>
      <c r="FC82" s="160">
        <v>7084</v>
      </c>
      <c r="FD82" s="116">
        <v>22596</v>
      </c>
      <c r="FE82" s="116">
        <v>-753</v>
      </c>
      <c r="FF82" s="3">
        <v>135345</v>
      </c>
      <c r="FG82" s="3">
        <v>90400</v>
      </c>
      <c r="FH82" s="3">
        <v>44945</v>
      </c>
      <c r="FI82" s="3">
        <v>0</v>
      </c>
      <c r="FJ82" s="125">
        <v>149221</v>
      </c>
      <c r="FK82" s="160">
        <v>93810</v>
      </c>
      <c r="FL82" s="125">
        <v>55411</v>
      </c>
      <c r="FM82" s="116">
        <v>0</v>
      </c>
      <c r="FN82" s="125">
        <v>160801</v>
      </c>
      <c r="FO82" s="116">
        <v>106143</v>
      </c>
      <c r="FP82" s="116">
        <v>54658</v>
      </c>
      <c r="FQ82" s="116">
        <v>3285</v>
      </c>
      <c r="FR82" s="153">
        <v>5293</v>
      </c>
      <c r="FS82" s="153">
        <v>5737</v>
      </c>
      <c r="FT82" s="276">
        <v>5956</v>
      </c>
      <c r="FU82" s="3">
        <v>2617</v>
      </c>
      <c r="FV82" s="159">
        <v>1821</v>
      </c>
      <c r="FW82" s="170"/>
      <c r="FZ82" s="155"/>
      <c r="GA82" s="2"/>
      <c r="GD82" s="163"/>
      <c r="GE82" s="2"/>
      <c r="GF82" s="2"/>
    </row>
    <row r="83" spans="1:188" ht="14.5" x14ac:dyDescent="0.35">
      <c r="A83" s="72">
        <v>320</v>
      </c>
      <c r="B83" s="70" t="s">
        <v>114</v>
      </c>
      <c r="C83" s="158">
        <v>7370</v>
      </c>
      <c r="D83" s="171"/>
      <c r="E83" s="128">
        <v>0.55115289903738529</v>
      </c>
      <c r="F83" s="128">
        <v>94.461482458934341</v>
      </c>
      <c r="G83" s="129">
        <v>-11293.758480325645</v>
      </c>
      <c r="H83" s="216"/>
      <c r="I83" s="172"/>
      <c r="J83" s="218"/>
      <c r="K83" s="128">
        <v>30.103385239938127</v>
      </c>
      <c r="L83" s="129">
        <v>1557.1234735413839</v>
      </c>
      <c r="M83" s="129">
        <v>32.931122589369245</v>
      </c>
      <c r="N83" s="129">
        <v>17258.75169606513</v>
      </c>
      <c r="O83" s="129"/>
      <c r="P83" s="117">
        <v>51891</v>
      </c>
      <c r="Q83" s="161">
        <v>101202</v>
      </c>
      <c r="R83" s="161">
        <v>0</v>
      </c>
      <c r="S83" s="161">
        <v>-49311</v>
      </c>
      <c r="T83" s="124">
        <v>29446</v>
      </c>
      <c r="U83" s="124">
        <v>28548</v>
      </c>
      <c r="V83" s="136"/>
      <c r="X83" s="116">
        <v>-984</v>
      </c>
      <c r="Y83" s="116">
        <v>1066</v>
      </c>
      <c r="Z83" s="161">
        <v>8765</v>
      </c>
      <c r="AA83" s="116">
        <v>7171</v>
      </c>
      <c r="AB83" s="117">
        <v>0</v>
      </c>
      <c r="AD83" s="161">
        <v>1594</v>
      </c>
      <c r="AE83" s="116">
        <v>-316</v>
      </c>
      <c r="AF83" s="116">
        <v>57</v>
      </c>
      <c r="AG83" s="116">
        <v>0</v>
      </c>
      <c r="AH83" s="117">
        <v>-485</v>
      </c>
      <c r="AI83" s="160">
        <v>850</v>
      </c>
      <c r="AJ83" s="161">
        <v>7513</v>
      </c>
      <c r="AK83" s="161">
        <v>7980</v>
      </c>
      <c r="AL83" s="150"/>
      <c r="AM83" s="161">
        <v>1498</v>
      </c>
      <c r="AN83" s="161">
        <v>-16785</v>
      </c>
      <c r="AO83" s="160">
        <v>3681</v>
      </c>
      <c r="AQ83" s="160"/>
      <c r="AR83" s="117"/>
      <c r="AS83" s="117"/>
      <c r="AT83" s="99">
        <v>21.5</v>
      </c>
      <c r="AU83" s="130"/>
      <c r="AV83" s="262">
        <v>13</v>
      </c>
      <c r="AW83" s="267">
        <v>7274</v>
      </c>
      <c r="AX83" s="124"/>
      <c r="AY83" s="255">
        <v>0.96492492492492488</v>
      </c>
      <c r="AZ83" s="259">
        <v>94.863946813921388</v>
      </c>
      <c r="BA83" s="160">
        <v>-11646.549353863074</v>
      </c>
      <c r="BB83" s="130"/>
      <c r="BC83" s="130"/>
      <c r="BD83" s="130"/>
      <c r="BE83" s="128">
        <v>34.627626104964783</v>
      </c>
      <c r="BF83" s="160">
        <v>1420.4014297497938</v>
      </c>
      <c r="BG83" s="129">
        <v>34.094434993529063</v>
      </c>
      <c r="BH83" s="131">
        <v>16889.881770690128</v>
      </c>
      <c r="BI83" s="124"/>
      <c r="BJ83" s="117">
        <v>53104</v>
      </c>
      <c r="BK83" s="117">
        <v>103613</v>
      </c>
      <c r="BL83" s="161">
        <v>0</v>
      </c>
      <c r="BM83" s="161">
        <v>-50509</v>
      </c>
      <c r="BN83" s="117">
        <v>28497</v>
      </c>
      <c r="BO83" s="117">
        <v>28503</v>
      </c>
      <c r="BP83" s="136"/>
      <c r="BR83" s="160">
        <v>-630</v>
      </c>
      <c r="BS83" s="160">
        <v>1372</v>
      </c>
      <c r="BT83" s="161">
        <v>7233</v>
      </c>
      <c r="BU83" s="125">
        <v>7196</v>
      </c>
      <c r="BV83" s="161">
        <v>0</v>
      </c>
      <c r="BW83" s="117"/>
      <c r="BX83" s="161">
        <v>37</v>
      </c>
      <c r="BY83" s="160">
        <v>-373</v>
      </c>
      <c r="BZ83" s="160">
        <v>24</v>
      </c>
      <c r="CA83" s="161">
        <v>0</v>
      </c>
      <c r="CB83" s="161">
        <v>-491</v>
      </c>
      <c r="CC83" s="160">
        <v>-803</v>
      </c>
      <c r="CD83" s="160">
        <v>6836</v>
      </c>
      <c r="CE83" s="116">
        <v>6532</v>
      </c>
      <c r="CF83" s="150"/>
      <c r="CG83" s="160">
        <v>-135</v>
      </c>
      <c r="CH83" s="160">
        <v>-7525</v>
      </c>
      <c r="CI83" s="159">
        <v>-1407</v>
      </c>
      <c r="CK83" s="124"/>
      <c r="CL83" s="161"/>
      <c r="CM83" s="124"/>
      <c r="CN83" s="265">
        <v>21.5</v>
      </c>
      <c r="CO83" s="130"/>
      <c r="CP83" s="116">
        <v>22</v>
      </c>
      <c r="CQ83" s="267">
        <v>7191</v>
      </c>
      <c r="CR83" s="124"/>
      <c r="CS83" s="268">
        <v>1.3870101986044014</v>
      </c>
      <c r="CT83" s="269">
        <v>98.506115563053569</v>
      </c>
      <c r="CU83" s="160">
        <v>-12614.379084967321</v>
      </c>
      <c r="CV83" s="130"/>
      <c r="CW83" s="130"/>
      <c r="CX83" s="130"/>
      <c r="CY83" s="269">
        <v>34.041459369817581</v>
      </c>
      <c r="CZ83" s="125">
        <v>2175.079961062439</v>
      </c>
      <c r="DA83" s="125">
        <v>42.779805170475832</v>
      </c>
      <c r="DB83" s="273">
        <v>18557.91962174941</v>
      </c>
      <c r="DC83" s="124"/>
      <c r="DD83" s="117">
        <v>55744</v>
      </c>
      <c r="DE83" s="117">
        <v>106752</v>
      </c>
      <c r="DF83" s="117">
        <v>0</v>
      </c>
      <c r="DG83" s="117">
        <v>-51008</v>
      </c>
      <c r="DH83" s="117">
        <v>29589</v>
      </c>
      <c r="DI83" s="117">
        <v>33217</v>
      </c>
      <c r="DJ83" s="136"/>
      <c r="DL83" s="160">
        <v>-626</v>
      </c>
      <c r="DM83" s="160">
        <v>889</v>
      </c>
      <c r="DN83" s="161">
        <v>12061</v>
      </c>
      <c r="DO83" s="116">
        <v>7370</v>
      </c>
      <c r="DP83" s="161">
        <v>-3</v>
      </c>
      <c r="DQ83" s="117"/>
      <c r="DR83" s="161">
        <v>4688</v>
      </c>
      <c r="DS83" s="116">
        <v>-354</v>
      </c>
      <c r="DT83" s="116">
        <v>-72</v>
      </c>
      <c r="DU83" s="117">
        <v>54</v>
      </c>
      <c r="DV83" s="117">
        <v>-252</v>
      </c>
      <c r="DW83" s="160">
        <v>3956</v>
      </c>
      <c r="DX83" s="160">
        <v>10424</v>
      </c>
      <c r="DY83" s="116">
        <v>11389</v>
      </c>
      <c r="DZ83" s="150"/>
      <c r="EA83" s="116">
        <v>383</v>
      </c>
      <c r="EB83" s="116">
        <v>-8456</v>
      </c>
      <c r="EC83" s="159">
        <v>-3084</v>
      </c>
      <c r="EE83" s="125"/>
      <c r="EF83" s="161"/>
      <c r="EG83" s="124"/>
      <c r="EH83" s="253">
        <v>21.5</v>
      </c>
      <c r="EI83" s="130"/>
      <c r="EJ83" s="125">
        <v>14</v>
      </c>
      <c r="EK83" s="116"/>
      <c r="EL83" s="159"/>
      <c r="EN83" s="116"/>
      <c r="EO83" s="116"/>
      <c r="EP83" s="159"/>
      <c r="EQ83" s="159">
        <v>-7226</v>
      </c>
      <c r="ER83" s="116">
        <v>164</v>
      </c>
      <c r="ES83" s="116">
        <v>2763</v>
      </c>
      <c r="ET83" s="160">
        <v>-9978</v>
      </c>
      <c r="EU83" s="116">
        <v>1673</v>
      </c>
      <c r="EV83" s="116">
        <v>366</v>
      </c>
      <c r="EW83" s="160">
        <v>-16147</v>
      </c>
      <c r="EX83" s="160">
        <v>502</v>
      </c>
      <c r="EY83" s="160">
        <v>1172</v>
      </c>
      <c r="EZ83" s="116">
        <v>15771</v>
      </c>
      <c r="FA83" s="116">
        <v>-3956</v>
      </c>
      <c r="FB83" s="116">
        <v>11539</v>
      </c>
      <c r="FC83" s="160">
        <v>-3045</v>
      </c>
      <c r="FD83" s="116">
        <v>14893</v>
      </c>
      <c r="FE83" s="116">
        <v>140</v>
      </c>
      <c r="FF83" s="3">
        <v>66238</v>
      </c>
      <c r="FG83" s="3">
        <v>56972</v>
      </c>
      <c r="FH83" s="3">
        <v>9266</v>
      </c>
      <c r="FI83" s="3">
        <v>736</v>
      </c>
      <c r="FJ83" s="125">
        <v>67127</v>
      </c>
      <c r="FK83" s="160">
        <v>59602</v>
      </c>
      <c r="FL83" s="125">
        <v>7525</v>
      </c>
      <c r="FM83" s="116">
        <v>429</v>
      </c>
      <c r="FN83" s="125">
        <v>75135</v>
      </c>
      <c r="FO83" s="116">
        <v>66408</v>
      </c>
      <c r="FP83" s="116">
        <v>8727</v>
      </c>
      <c r="FQ83" s="116">
        <v>383</v>
      </c>
      <c r="FR83" s="153">
        <v>8552</v>
      </c>
      <c r="FS83" s="153">
        <v>7148</v>
      </c>
      <c r="FT83" s="276">
        <v>7589</v>
      </c>
      <c r="FU83" s="3">
        <v>2020</v>
      </c>
      <c r="FV83" s="159">
        <v>1408</v>
      </c>
      <c r="FW83" s="170"/>
      <c r="FZ83" s="155"/>
      <c r="GA83" s="2"/>
      <c r="GD83" s="163"/>
      <c r="GE83" s="2"/>
      <c r="GF83" s="2"/>
    </row>
    <row r="84" spans="1:188" ht="14.5" x14ac:dyDescent="0.35">
      <c r="A84" s="72">
        <v>241</v>
      </c>
      <c r="B84" s="70" t="s">
        <v>82</v>
      </c>
      <c r="C84" s="158">
        <v>8147</v>
      </c>
      <c r="D84" s="171"/>
      <c r="E84" s="128">
        <v>0.75200366384245476</v>
      </c>
      <c r="F84" s="128">
        <v>55.318293859179079</v>
      </c>
      <c r="G84" s="129">
        <v>-3025.1626365533325</v>
      </c>
      <c r="H84" s="216"/>
      <c r="I84" s="172"/>
      <c r="J84" s="218"/>
      <c r="K84" s="128">
        <v>42.353143795871866</v>
      </c>
      <c r="L84" s="129">
        <v>1154.2899226709219</v>
      </c>
      <c r="M84" s="129">
        <v>43.196788361586187</v>
      </c>
      <c r="N84" s="129">
        <v>9753.4061617773423</v>
      </c>
      <c r="O84" s="129"/>
      <c r="P84" s="117">
        <v>27442</v>
      </c>
      <c r="Q84" s="161">
        <v>71492</v>
      </c>
      <c r="R84" s="161">
        <v>0</v>
      </c>
      <c r="S84" s="161">
        <v>-44050</v>
      </c>
      <c r="T84" s="124">
        <v>34796</v>
      </c>
      <c r="U84" s="124">
        <v>12410</v>
      </c>
      <c r="V84" s="136"/>
      <c r="X84" s="116">
        <v>-309</v>
      </c>
      <c r="Y84" s="116">
        <v>123</v>
      </c>
      <c r="Z84" s="161">
        <v>2970</v>
      </c>
      <c r="AA84" s="116">
        <v>4057</v>
      </c>
      <c r="AB84" s="117">
        <v>713</v>
      </c>
      <c r="AD84" s="161">
        <v>-374</v>
      </c>
      <c r="AE84" s="116">
        <v>0</v>
      </c>
      <c r="AF84" s="116">
        <v>5</v>
      </c>
      <c r="AG84" s="116">
        <v>0</v>
      </c>
      <c r="AH84" s="116">
        <v>-165</v>
      </c>
      <c r="AI84" s="160">
        <v>-534</v>
      </c>
      <c r="AJ84" s="161">
        <v>5459</v>
      </c>
      <c r="AK84" s="161">
        <v>3099</v>
      </c>
      <c r="AL84" s="150"/>
      <c r="AM84" s="161">
        <v>-2082</v>
      </c>
      <c r="AN84" s="161">
        <v>-4053</v>
      </c>
      <c r="AO84" s="160">
        <v>6638</v>
      </c>
      <c r="AQ84" s="160"/>
      <c r="AR84" s="117"/>
      <c r="AS84" s="117"/>
      <c r="AT84" s="99">
        <v>21.25</v>
      </c>
      <c r="AU84" s="130"/>
      <c r="AV84" s="262">
        <v>195</v>
      </c>
      <c r="AW84" s="267">
        <v>8079</v>
      </c>
      <c r="AX84" s="124"/>
      <c r="AY84" s="255">
        <v>1.1027641551493534</v>
      </c>
      <c r="AZ84" s="259">
        <v>53.165260445612084</v>
      </c>
      <c r="BA84" s="160">
        <v>-2920.9060527292982</v>
      </c>
      <c r="BB84" s="130"/>
      <c r="BC84" s="130"/>
      <c r="BD84" s="130"/>
      <c r="BE84" s="128">
        <v>42.127996264397638</v>
      </c>
      <c r="BF84" s="160">
        <v>1538.8043074637949</v>
      </c>
      <c r="BG84" s="129">
        <v>40.602088976685316</v>
      </c>
      <c r="BH84" s="131">
        <v>10464.042579527169</v>
      </c>
      <c r="BI84" s="124"/>
      <c r="BJ84" s="117">
        <v>30254</v>
      </c>
      <c r="BK84" s="117">
        <v>74348</v>
      </c>
      <c r="BL84" s="161">
        <v>0</v>
      </c>
      <c r="BM84" s="161">
        <v>-44094</v>
      </c>
      <c r="BN84" s="117">
        <v>35804</v>
      </c>
      <c r="BO84" s="117">
        <v>13114</v>
      </c>
      <c r="BP84" s="136"/>
      <c r="BR84" s="160">
        <v>-272</v>
      </c>
      <c r="BS84" s="160">
        <v>120</v>
      </c>
      <c r="BT84" s="161">
        <v>4672</v>
      </c>
      <c r="BU84" s="125">
        <v>3826</v>
      </c>
      <c r="BV84" s="161">
        <v>3</v>
      </c>
      <c r="BX84" s="161">
        <v>849</v>
      </c>
      <c r="BY84" s="160">
        <v>0</v>
      </c>
      <c r="BZ84" s="160">
        <v>-67</v>
      </c>
      <c r="CA84" s="160">
        <v>0</v>
      </c>
      <c r="CB84" s="160">
        <v>-276</v>
      </c>
      <c r="CC84" s="160">
        <v>506</v>
      </c>
      <c r="CD84" s="160">
        <v>5338</v>
      </c>
      <c r="CE84" s="116">
        <v>4762</v>
      </c>
      <c r="CF84" s="150"/>
      <c r="CG84" s="161">
        <v>1789</v>
      </c>
      <c r="CH84" s="160">
        <v>-4211</v>
      </c>
      <c r="CI84" s="159">
        <v>-780</v>
      </c>
      <c r="CK84" s="124"/>
      <c r="CL84" s="161"/>
      <c r="CM84" s="124"/>
      <c r="CN84" s="265">
        <v>21.25</v>
      </c>
      <c r="CO84" s="130"/>
      <c r="CP84" s="116">
        <v>97</v>
      </c>
      <c r="CQ84" s="267">
        <v>7984</v>
      </c>
      <c r="CR84" s="124"/>
      <c r="CS84" s="268">
        <v>1.7894989211220331</v>
      </c>
      <c r="CT84" s="269">
        <v>51.231085702747386</v>
      </c>
      <c r="CU84" s="160">
        <v>-3001.0020040080158</v>
      </c>
      <c r="CV84" s="130"/>
      <c r="CW84" s="130"/>
      <c r="CX84" s="130"/>
      <c r="CY84" s="269">
        <v>45.439395481375939</v>
      </c>
      <c r="CZ84" s="125">
        <v>1199.0230460921844</v>
      </c>
      <c r="DA84" s="125">
        <v>42.067215660779425</v>
      </c>
      <c r="DB84" s="273">
        <v>10403.431863727455</v>
      </c>
      <c r="DC84" s="124"/>
      <c r="DD84" s="117">
        <v>26881</v>
      </c>
      <c r="DE84" s="117">
        <v>71816</v>
      </c>
      <c r="DF84" s="117">
        <v>0</v>
      </c>
      <c r="DG84" s="117">
        <v>-44935</v>
      </c>
      <c r="DH84" s="117">
        <v>36162</v>
      </c>
      <c r="DI84" s="117">
        <v>16196</v>
      </c>
      <c r="DJ84" s="136"/>
      <c r="DL84" s="160">
        <v>-233</v>
      </c>
      <c r="DM84" s="160">
        <v>36</v>
      </c>
      <c r="DN84" s="161">
        <v>7226</v>
      </c>
      <c r="DO84" s="116">
        <v>3879</v>
      </c>
      <c r="DP84" s="161">
        <v>37</v>
      </c>
      <c r="DR84" s="161">
        <v>3384</v>
      </c>
      <c r="DS84" s="116">
        <v>0</v>
      </c>
      <c r="DT84" s="116">
        <v>4</v>
      </c>
      <c r="DU84" s="116">
        <v>0</v>
      </c>
      <c r="DV84" s="116">
        <v>-144</v>
      </c>
      <c r="DW84" s="160">
        <v>3244</v>
      </c>
      <c r="DX84" s="160">
        <v>8583</v>
      </c>
      <c r="DY84" s="116">
        <v>6940</v>
      </c>
      <c r="DZ84" s="150"/>
      <c r="EA84" s="117">
        <v>-701</v>
      </c>
      <c r="EB84" s="116">
        <v>-3933</v>
      </c>
      <c r="EC84" s="159">
        <v>298</v>
      </c>
      <c r="EE84" s="125"/>
      <c r="EF84" s="161"/>
      <c r="EG84" s="124"/>
      <c r="EH84" s="253">
        <v>21.25</v>
      </c>
      <c r="EI84" s="130"/>
      <c r="EJ84" s="125">
        <v>189</v>
      </c>
      <c r="EK84" s="116"/>
      <c r="EL84" s="159"/>
      <c r="EN84" s="116"/>
      <c r="EO84" s="116"/>
      <c r="EP84" s="159"/>
      <c r="EQ84" s="159">
        <v>-3591</v>
      </c>
      <c r="ER84" s="116">
        <v>133</v>
      </c>
      <c r="ES84" s="116">
        <v>6997</v>
      </c>
      <c r="ET84" s="160">
        <v>-5682</v>
      </c>
      <c r="EU84" s="116">
        <v>131</v>
      </c>
      <c r="EV84" s="116">
        <v>9</v>
      </c>
      <c r="EW84" s="160">
        <v>-7050</v>
      </c>
      <c r="EX84" s="160">
        <v>105</v>
      </c>
      <c r="EY84" s="160">
        <v>303</v>
      </c>
      <c r="EZ84" s="116">
        <v>15</v>
      </c>
      <c r="FA84" s="116">
        <v>599</v>
      </c>
      <c r="FB84" s="116">
        <v>5062</v>
      </c>
      <c r="FC84" s="160">
        <v>849</v>
      </c>
      <c r="FD84" s="116">
        <v>278</v>
      </c>
      <c r="FE84" s="116">
        <v>-363</v>
      </c>
      <c r="FF84" s="3">
        <v>26012</v>
      </c>
      <c r="FG84" s="3">
        <v>21198</v>
      </c>
      <c r="FH84" s="3">
        <v>4814</v>
      </c>
      <c r="FI84" s="3">
        <v>82</v>
      </c>
      <c r="FJ84" s="125">
        <v>27666</v>
      </c>
      <c r="FK84" s="160">
        <v>22579</v>
      </c>
      <c r="FL84" s="125">
        <v>5087</v>
      </c>
      <c r="FM84" s="116">
        <v>59</v>
      </c>
      <c r="FN84" s="125">
        <v>23980</v>
      </c>
      <c r="FO84" s="116">
        <v>18820</v>
      </c>
      <c r="FP84" s="116">
        <v>5160</v>
      </c>
      <c r="FQ84" s="116">
        <v>-701</v>
      </c>
      <c r="FR84" s="153">
        <v>433</v>
      </c>
      <c r="FS84" s="153">
        <v>330</v>
      </c>
      <c r="FT84" s="276">
        <v>310</v>
      </c>
      <c r="FU84" s="3">
        <v>280</v>
      </c>
      <c r="FV84" s="159">
        <v>508</v>
      </c>
      <c r="FW84" s="170"/>
      <c r="FZ84" s="155"/>
      <c r="GA84" s="2"/>
      <c r="GD84" s="163"/>
      <c r="GE84" s="2"/>
      <c r="GF84" s="2"/>
    </row>
    <row r="85" spans="1:188" ht="14.5" x14ac:dyDescent="0.35">
      <c r="A85" s="154">
        <v>322</v>
      </c>
      <c r="B85" s="76" t="s">
        <v>356</v>
      </c>
      <c r="C85" s="158">
        <v>6724</v>
      </c>
      <c r="D85" s="171"/>
      <c r="E85" s="128">
        <v>0.6190366443881079</v>
      </c>
      <c r="F85" s="128">
        <v>60.435034066383601</v>
      </c>
      <c r="G85" s="129">
        <v>-5183.5217132659127</v>
      </c>
      <c r="H85" s="216"/>
      <c r="I85" s="172"/>
      <c r="J85" s="218"/>
      <c r="K85" s="128">
        <v>45.524685811498877</v>
      </c>
      <c r="L85" s="129">
        <v>577.18619869125519</v>
      </c>
      <c r="M85" s="129">
        <v>18.837801537274927</v>
      </c>
      <c r="N85" s="129">
        <v>11183.521713265913</v>
      </c>
      <c r="O85" s="129"/>
      <c r="P85" s="117">
        <v>27424</v>
      </c>
      <c r="Q85" s="161">
        <v>68266</v>
      </c>
      <c r="R85" s="161">
        <v>2</v>
      </c>
      <c r="S85" s="161">
        <v>-40840</v>
      </c>
      <c r="T85" s="124">
        <v>22262</v>
      </c>
      <c r="U85" s="124">
        <v>21205</v>
      </c>
      <c r="V85" s="136"/>
      <c r="X85" s="116">
        <v>-453</v>
      </c>
      <c r="Y85" s="116">
        <v>60</v>
      </c>
      <c r="Z85" s="161">
        <v>2234</v>
      </c>
      <c r="AA85" s="116">
        <v>5149</v>
      </c>
      <c r="AB85" s="116">
        <v>0</v>
      </c>
      <c r="AD85" s="161">
        <v>-2915</v>
      </c>
      <c r="AE85" s="117">
        <v>-2</v>
      </c>
      <c r="AF85" s="117">
        <v>-214</v>
      </c>
      <c r="AG85" s="116">
        <v>-59</v>
      </c>
      <c r="AH85" s="116">
        <v>27</v>
      </c>
      <c r="AI85" s="160">
        <v>-3163</v>
      </c>
      <c r="AJ85" s="161">
        <v>17302</v>
      </c>
      <c r="AK85" s="161">
        <v>1841</v>
      </c>
      <c r="AL85" s="150"/>
      <c r="AM85" s="161">
        <v>553</v>
      </c>
      <c r="AN85" s="161">
        <v>-3887</v>
      </c>
      <c r="AO85" s="160">
        <v>87</v>
      </c>
      <c r="AQ85" s="160"/>
      <c r="AR85" s="117"/>
      <c r="AS85" s="117"/>
      <c r="AT85" s="99">
        <v>19.75</v>
      </c>
      <c r="AU85" s="130"/>
      <c r="AV85" s="262">
        <v>201</v>
      </c>
      <c r="AW85" s="267">
        <v>6640</v>
      </c>
      <c r="AX85" s="124"/>
      <c r="AY85" s="255">
        <v>0.83551349846924572</v>
      </c>
      <c r="AZ85" s="259">
        <v>60.566776788079011</v>
      </c>
      <c r="BA85" s="160">
        <v>-5195.9337349397592</v>
      </c>
      <c r="BB85" s="130"/>
      <c r="BC85" s="130"/>
      <c r="BD85" s="130"/>
      <c r="BE85" s="128">
        <v>44.779662267701426</v>
      </c>
      <c r="BF85" s="160">
        <v>712.04819277108436</v>
      </c>
      <c r="BG85" s="129">
        <v>18.95983349840726</v>
      </c>
      <c r="BH85" s="131">
        <v>11252.108433734938</v>
      </c>
      <c r="BI85" s="124"/>
      <c r="BJ85" s="117">
        <v>27481</v>
      </c>
      <c r="BK85" s="117">
        <v>68792</v>
      </c>
      <c r="BL85" s="161">
        <v>16</v>
      </c>
      <c r="BM85" s="161">
        <v>-41295</v>
      </c>
      <c r="BN85" s="117">
        <v>22657</v>
      </c>
      <c r="BO85" s="117">
        <v>21601</v>
      </c>
      <c r="BP85" s="136"/>
      <c r="BR85" s="160">
        <v>-366</v>
      </c>
      <c r="BS85" s="160">
        <v>39</v>
      </c>
      <c r="BT85" s="161">
        <v>2636</v>
      </c>
      <c r="BU85" s="125">
        <v>5154</v>
      </c>
      <c r="BV85" s="160">
        <v>0</v>
      </c>
      <c r="BX85" s="161">
        <v>-2518</v>
      </c>
      <c r="BY85" s="161">
        <v>-6</v>
      </c>
      <c r="BZ85" s="160">
        <v>211</v>
      </c>
      <c r="CA85" s="160">
        <v>45</v>
      </c>
      <c r="CB85" s="160">
        <v>-54</v>
      </c>
      <c r="CC85" s="160">
        <v>-2412</v>
      </c>
      <c r="CD85" s="160">
        <v>14770</v>
      </c>
      <c r="CE85" s="116">
        <v>2541</v>
      </c>
      <c r="CF85" s="150"/>
      <c r="CG85" s="160">
        <v>-34</v>
      </c>
      <c r="CH85" s="160">
        <v>-3227</v>
      </c>
      <c r="CI85" s="159">
        <v>441</v>
      </c>
      <c r="CK85" s="124"/>
      <c r="CL85" s="161"/>
      <c r="CM85" s="124"/>
      <c r="CN85" s="265">
        <v>19.75</v>
      </c>
      <c r="CO85" s="130"/>
      <c r="CP85" s="116">
        <v>164</v>
      </c>
      <c r="CQ85" s="267">
        <v>6609</v>
      </c>
      <c r="CR85" s="124"/>
      <c r="CS85" s="268">
        <v>2.2345549738219894</v>
      </c>
      <c r="CT85" s="269">
        <v>48.627022125015003</v>
      </c>
      <c r="CU85" s="160">
        <v>-4228.6276289907701</v>
      </c>
      <c r="CV85" s="130"/>
      <c r="CW85" s="130"/>
      <c r="CX85" s="130"/>
      <c r="CY85" s="269">
        <v>49.879693283976735</v>
      </c>
      <c r="CZ85" s="125">
        <v>578.90755031018307</v>
      </c>
      <c r="DA85" s="125">
        <v>19.06340864104839</v>
      </c>
      <c r="DB85" s="273">
        <v>11084.12770464518</v>
      </c>
      <c r="DC85" s="124"/>
      <c r="DD85" s="117">
        <v>27341</v>
      </c>
      <c r="DE85" s="117">
        <v>66520</v>
      </c>
      <c r="DF85" s="117">
        <v>20</v>
      </c>
      <c r="DG85" s="117">
        <v>-39159</v>
      </c>
      <c r="DH85" s="117">
        <v>23300</v>
      </c>
      <c r="DI85" s="117">
        <v>24342</v>
      </c>
      <c r="DJ85" s="136"/>
      <c r="DL85" s="160">
        <v>-324</v>
      </c>
      <c r="DM85" s="160">
        <v>48</v>
      </c>
      <c r="DN85" s="161">
        <v>8207</v>
      </c>
      <c r="DO85" s="116">
        <v>6833</v>
      </c>
      <c r="DP85" s="160">
        <v>0</v>
      </c>
      <c r="DR85" s="161">
        <v>1374</v>
      </c>
      <c r="DS85" s="117">
        <v>-6</v>
      </c>
      <c r="DT85" s="116">
        <v>393</v>
      </c>
      <c r="DU85" s="116">
        <v>24</v>
      </c>
      <c r="DV85" s="116">
        <v>-22</v>
      </c>
      <c r="DW85" s="160">
        <v>1715</v>
      </c>
      <c r="DX85" s="160">
        <v>16313</v>
      </c>
      <c r="DY85" s="116">
        <v>8044</v>
      </c>
      <c r="DZ85" s="150"/>
      <c r="EA85" s="116">
        <v>-332</v>
      </c>
      <c r="EB85" s="116">
        <v>-3491</v>
      </c>
      <c r="EC85" s="159">
        <v>6211</v>
      </c>
      <c r="EE85" s="125"/>
      <c r="EF85" s="161"/>
      <c r="EG85" s="124"/>
      <c r="EH85" s="253">
        <v>19.75</v>
      </c>
      <c r="EI85" s="130"/>
      <c r="EJ85" s="125">
        <v>62</v>
      </c>
      <c r="EK85" s="116"/>
      <c r="EL85" s="159"/>
      <c r="EN85" s="116"/>
      <c r="EO85" s="116"/>
      <c r="EP85" s="159"/>
      <c r="EQ85" s="159">
        <v>-2496</v>
      </c>
      <c r="ER85" s="116">
        <v>198</v>
      </c>
      <c r="ES85" s="116">
        <v>544</v>
      </c>
      <c r="ET85" s="160">
        <v>-2234</v>
      </c>
      <c r="EU85" s="116">
        <v>44</v>
      </c>
      <c r="EV85" s="116">
        <v>90</v>
      </c>
      <c r="EW85" s="160">
        <v>-2633</v>
      </c>
      <c r="EX85" s="160">
        <v>456</v>
      </c>
      <c r="EY85" s="160">
        <v>344</v>
      </c>
      <c r="EZ85" s="116">
        <v>693</v>
      </c>
      <c r="FA85" s="116">
        <v>-1928</v>
      </c>
      <c r="FB85" s="116">
        <v>350</v>
      </c>
      <c r="FC85" s="160">
        <v>3654</v>
      </c>
      <c r="FD85" s="116">
        <v>103</v>
      </c>
      <c r="FE85" s="116">
        <v>-2981</v>
      </c>
      <c r="FF85" s="3">
        <v>31218</v>
      </c>
      <c r="FG85" s="3">
        <v>28271</v>
      </c>
      <c r="FH85" s="3">
        <v>2947</v>
      </c>
      <c r="FI85" s="3">
        <v>1</v>
      </c>
      <c r="FJ85" s="125">
        <v>32081</v>
      </c>
      <c r="FK85" s="160">
        <v>25633</v>
      </c>
      <c r="FL85" s="125">
        <v>6448</v>
      </c>
      <c r="FM85" s="116">
        <v>1</v>
      </c>
      <c r="FN85" s="125">
        <v>25694</v>
      </c>
      <c r="FO85" s="116">
        <v>22527</v>
      </c>
      <c r="FP85" s="116">
        <v>3167</v>
      </c>
      <c r="FQ85" s="116">
        <v>-332</v>
      </c>
      <c r="FR85" s="153">
        <v>1406</v>
      </c>
      <c r="FS85" s="153">
        <v>1193</v>
      </c>
      <c r="FT85" s="276">
        <v>1059</v>
      </c>
      <c r="FU85" s="3">
        <v>5032</v>
      </c>
      <c r="FV85" s="159">
        <v>5851</v>
      </c>
      <c r="FW85" s="170"/>
      <c r="FZ85" s="155"/>
      <c r="GA85" s="2"/>
      <c r="GD85" s="163"/>
      <c r="GE85" s="2"/>
      <c r="GF85" s="2"/>
    </row>
    <row r="86" spans="1:188" ht="14.5" x14ac:dyDescent="0.35">
      <c r="A86" s="72">
        <v>244</v>
      </c>
      <c r="B86" s="70" t="s">
        <v>83</v>
      </c>
      <c r="C86" s="158">
        <v>17923</v>
      </c>
      <c r="D86" s="171"/>
      <c r="E86" s="128">
        <v>1.0989538855678906</v>
      </c>
      <c r="F86" s="128">
        <v>70.340937839486884</v>
      </c>
      <c r="G86" s="129">
        <v>-4018.3563019583771</v>
      </c>
      <c r="H86" s="216"/>
      <c r="I86" s="172"/>
      <c r="J86" s="218"/>
      <c r="K86" s="128">
        <v>40.735812085289254</v>
      </c>
      <c r="L86" s="129">
        <v>839.14523238297159</v>
      </c>
      <c r="M86" s="129">
        <v>35.37478090524796</v>
      </c>
      <c r="N86" s="129">
        <v>8658.3719243430223</v>
      </c>
      <c r="O86" s="129"/>
      <c r="P86" s="117">
        <v>37141</v>
      </c>
      <c r="Q86" s="161">
        <v>124080</v>
      </c>
      <c r="R86" s="161">
        <v>-32</v>
      </c>
      <c r="S86" s="161">
        <v>-86971</v>
      </c>
      <c r="T86" s="124">
        <v>68585</v>
      </c>
      <c r="U86" s="124">
        <v>28668</v>
      </c>
      <c r="V86" s="136"/>
      <c r="X86" s="116">
        <v>-795</v>
      </c>
      <c r="Y86" s="116">
        <v>-2</v>
      </c>
      <c r="Z86" s="161">
        <v>9485</v>
      </c>
      <c r="AA86" s="116">
        <v>7897</v>
      </c>
      <c r="AB86" s="116">
        <v>453</v>
      </c>
      <c r="AD86" s="161">
        <v>2041</v>
      </c>
      <c r="AE86" s="117">
        <v>-15</v>
      </c>
      <c r="AF86" s="117">
        <v>-109</v>
      </c>
      <c r="AG86" s="116">
        <v>-2</v>
      </c>
      <c r="AH86" s="116">
        <v>-31</v>
      </c>
      <c r="AI86" s="160">
        <v>1884</v>
      </c>
      <c r="AJ86" s="161">
        <v>23761</v>
      </c>
      <c r="AK86" s="161">
        <v>5194</v>
      </c>
      <c r="AL86" s="150"/>
      <c r="AM86" s="161">
        <v>56</v>
      </c>
      <c r="AN86" s="161">
        <v>-8558</v>
      </c>
      <c r="AO86" s="160">
        <v>-10345</v>
      </c>
      <c r="AQ86" s="160"/>
      <c r="AR86" s="117"/>
      <c r="AS86" s="117"/>
      <c r="AT86" s="99">
        <v>20.5</v>
      </c>
      <c r="AU86" s="130"/>
      <c r="AV86" s="262">
        <v>131</v>
      </c>
      <c r="AW86" s="267">
        <v>18355</v>
      </c>
      <c r="AX86" s="124"/>
      <c r="AY86" s="255">
        <v>0.66030259365994237</v>
      </c>
      <c r="AZ86" s="259">
        <v>77.284970632437179</v>
      </c>
      <c r="BA86" s="160">
        <v>-4729.5014982293651</v>
      </c>
      <c r="BB86" s="130"/>
      <c r="BC86" s="130"/>
      <c r="BD86" s="130"/>
      <c r="BE86" s="128">
        <v>37.175690221976552</v>
      </c>
      <c r="BF86" s="160">
        <v>623.64478343775545</v>
      </c>
      <c r="BG86" s="129">
        <v>33.961050209101487</v>
      </c>
      <c r="BH86" s="131">
        <v>8806.5377281394703</v>
      </c>
      <c r="BI86" s="124"/>
      <c r="BJ86" s="117">
        <v>37179</v>
      </c>
      <c r="BK86" s="117">
        <v>132292</v>
      </c>
      <c r="BL86" s="161">
        <v>23</v>
      </c>
      <c r="BM86" s="161">
        <v>-95090</v>
      </c>
      <c r="BN86" s="117">
        <v>71188</v>
      </c>
      <c r="BO86" s="117">
        <v>29370</v>
      </c>
      <c r="BP86" s="136"/>
      <c r="BR86" s="160">
        <v>-752</v>
      </c>
      <c r="BS86" s="160">
        <v>17</v>
      </c>
      <c r="BT86" s="161">
        <v>4733</v>
      </c>
      <c r="BU86" s="125">
        <v>7698</v>
      </c>
      <c r="BV86" s="160">
        <v>0</v>
      </c>
      <c r="BX86" s="161">
        <v>-2965</v>
      </c>
      <c r="BY86" s="161">
        <v>-1</v>
      </c>
      <c r="BZ86" s="160">
        <v>-3</v>
      </c>
      <c r="CA86" s="160">
        <v>6</v>
      </c>
      <c r="CB86" s="160">
        <v>-59</v>
      </c>
      <c r="CC86" s="160">
        <v>-3034</v>
      </c>
      <c r="CD86" s="160">
        <v>20727</v>
      </c>
      <c r="CE86" s="116">
        <v>1071</v>
      </c>
      <c r="CF86" s="150"/>
      <c r="CG86" s="161">
        <v>-721</v>
      </c>
      <c r="CH86" s="160">
        <v>-7562</v>
      </c>
      <c r="CI86" s="159">
        <v>-14740</v>
      </c>
      <c r="CK86" s="124"/>
      <c r="CL86" s="161"/>
      <c r="CM86" s="124"/>
      <c r="CN86" s="265">
        <v>20.5</v>
      </c>
      <c r="CO86" s="130"/>
      <c r="CP86" s="116">
        <v>222</v>
      </c>
      <c r="CQ86" s="267">
        <v>18796</v>
      </c>
      <c r="CR86" s="124"/>
      <c r="CS86" s="268">
        <v>1.327177700348432</v>
      </c>
      <c r="CT86" s="269">
        <v>73.674416113851947</v>
      </c>
      <c r="CU86" s="160">
        <v>-4742.7644179612689</v>
      </c>
      <c r="CV86" s="130"/>
      <c r="CW86" s="130"/>
      <c r="CX86" s="130"/>
      <c r="CY86" s="269">
        <v>36.792083921315268</v>
      </c>
      <c r="CZ86" s="125">
        <v>694.72228133645456</v>
      </c>
      <c r="DA86" s="125">
        <v>29.557460108774521</v>
      </c>
      <c r="DB86" s="273">
        <v>8579.0061715258562</v>
      </c>
      <c r="DC86" s="124"/>
      <c r="DD86" s="117">
        <v>36658</v>
      </c>
      <c r="DE86" s="117">
        <v>138065</v>
      </c>
      <c r="DF86" s="117">
        <v>6</v>
      </c>
      <c r="DG86" s="117">
        <v>-101401</v>
      </c>
      <c r="DH86" s="117">
        <v>74665</v>
      </c>
      <c r="DI86" s="117">
        <v>38064</v>
      </c>
      <c r="DJ86" s="136"/>
      <c r="DL86" s="160">
        <v>-676</v>
      </c>
      <c r="DM86" s="160">
        <v>37</v>
      </c>
      <c r="DN86" s="161">
        <v>10689</v>
      </c>
      <c r="DO86" s="116">
        <v>9565</v>
      </c>
      <c r="DP86" s="160">
        <v>0</v>
      </c>
      <c r="DR86" s="161">
        <v>1124</v>
      </c>
      <c r="DS86" s="117">
        <v>-2</v>
      </c>
      <c r="DT86" s="116">
        <v>83</v>
      </c>
      <c r="DU86" s="116">
        <v>2</v>
      </c>
      <c r="DV86" s="116">
        <v>-85</v>
      </c>
      <c r="DW86" s="160">
        <v>1118</v>
      </c>
      <c r="DX86" s="160">
        <v>21836</v>
      </c>
      <c r="DY86" s="116">
        <v>8137</v>
      </c>
      <c r="DZ86" s="150"/>
      <c r="EA86" s="117">
        <v>337</v>
      </c>
      <c r="EB86" s="116">
        <v>-7872</v>
      </c>
      <c r="EC86" s="159">
        <v>-2183</v>
      </c>
      <c r="EE86" s="125"/>
      <c r="EF86" s="161"/>
      <c r="EG86" s="124"/>
      <c r="EH86" s="253">
        <v>20.5</v>
      </c>
      <c r="EI86" s="130"/>
      <c r="EJ86" s="125">
        <v>279</v>
      </c>
      <c r="EK86" s="116"/>
      <c r="EL86" s="159"/>
      <c r="EN86" s="116"/>
      <c r="EO86" s="116"/>
      <c r="EP86" s="159"/>
      <c r="EQ86" s="159">
        <v>-21605</v>
      </c>
      <c r="ER86" s="116">
        <v>281</v>
      </c>
      <c r="ES86" s="116">
        <v>5785</v>
      </c>
      <c r="ET86" s="160">
        <v>-20986</v>
      </c>
      <c r="EU86" s="116">
        <v>492</v>
      </c>
      <c r="EV86" s="116">
        <v>4683</v>
      </c>
      <c r="EW86" s="160">
        <v>-14552</v>
      </c>
      <c r="EX86" s="160">
        <v>655</v>
      </c>
      <c r="EY86" s="160">
        <v>3577</v>
      </c>
      <c r="EZ86" s="116">
        <v>18673</v>
      </c>
      <c r="FA86" s="116">
        <v>-78</v>
      </c>
      <c r="FB86" s="116">
        <v>17051</v>
      </c>
      <c r="FC86" s="160">
        <v>-88</v>
      </c>
      <c r="FD86" s="116">
        <v>10289</v>
      </c>
      <c r="FE86" s="116">
        <v>41</v>
      </c>
      <c r="FF86" s="3">
        <v>71092</v>
      </c>
      <c r="FG86" s="3">
        <v>63512</v>
      </c>
      <c r="FH86" s="3">
        <v>7580</v>
      </c>
      <c r="FI86" s="3">
        <v>3</v>
      </c>
      <c r="FJ86" s="125">
        <v>80493</v>
      </c>
      <c r="FK86" s="160">
        <v>72602</v>
      </c>
      <c r="FL86" s="125">
        <v>7891</v>
      </c>
      <c r="FM86" s="116">
        <v>3</v>
      </c>
      <c r="FN86" s="125">
        <v>82951</v>
      </c>
      <c r="FO86" s="116">
        <v>74540</v>
      </c>
      <c r="FP86" s="116">
        <v>8411</v>
      </c>
      <c r="FQ86" s="116">
        <v>337</v>
      </c>
      <c r="FR86" s="153">
        <v>867</v>
      </c>
      <c r="FS86" s="153">
        <v>734</v>
      </c>
      <c r="FT86" s="276">
        <v>598</v>
      </c>
      <c r="FU86" s="3">
        <v>16787</v>
      </c>
      <c r="FV86" s="159">
        <v>17896</v>
      </c>
      <c r="FW86" s="170"/>
      <c r="FZ86" s="155"/>
      <c r="GA86" s="2"/>
      <c r="GD86" s="163"/>
      <c r="GE86" s="2"/>
      <c r="GF86" s="2"/>
    </row>
    <row r="87" spans="1:188" ht="14.5" x14ac:dyDescent="0.35">
      <c r="A87" s="72">
        <v>245</v>
      </c>
      <c r="B87" s="70" t="s">
        <v>84</v>
      </c>
      <c r="C87" s="158">
        <v>36254</v>
      </c>
      <c r="D87" s="171"/>
      <c r="E87" s="128">
        <v>1.6217735627688699</v>
      </c>
      <c r="F87" s="128">
        <v>75.557462100670975</v>
      </c>
      <c r="G87" s="129">
        <v>-6364.7321674849672</v>
      </c>
      <c r="H87" s="216"/>
      <c r="I87" s="172"/>
      <c r="J87" s="218"/>
      <c r="K87" s="128">
        <v>53.026647399691448</v>
      </c>
      <c r="L87" s="129">
        <v>648.67324984829258</v>
      </c>
      <c r="M87" s="129">
        <v>21.233602390593965</v>
      </c>
      <c r="N87" s="129">
        <v>11150.521321785183</v>
      </c>
      <c r="O87" s="129"/>
      <c r="P87" s="117">
        <v>182884</v>
      </c>
      <c r="Q87" s="161">
        <v>338222</v>
      </c>
      <c r="R87" s="161">
        <v>59</v>
      </c>
      <c r="S87" s="161">
        <v>-155279</v>
      </c>
      <c r="T87" s="124">
        <v>151935</v>
      </c>
      <c r="U87" s="124">
        <v>35834</v>
      </c>
      <c r="V87" s="136"/>
      <c r="X87" s="116">
        <v>-782</v>
      </c>
      <c r="Y87" s="116">
        <v>551</v>
      </c>
      <c r="Z87" s="161">
        <v>32259</v>
      </c>
      <c r="AA87" s="116">
        <v>30748</v>
      </c>
      <c r="AB87" s="116">
        <v>0</v>
      </c>
      <c r="AD87" s="161">
        <v>1511</v>
      </c>
      <c r="AE87" s="116">
        <v>60</v>
      </c>
      <c r="AF87" s="116">
        <v>-10</v>
      </c>
      <c r="AG87" s="116">
        <v>-19</v>
      </c>
      <c r="AH87" s="117">
        <v>-68</v>
      </c>
      <c r="AI87" s="160">
        <v>1474</v>
      </c>
      <c r="AJ87" s="161">
        <v>139430</v>
      </c>
      <c r="AK87" s="161">
        <v>27934</v>
      </c>
      <c r="AL87" s="150"/>
      <c r="AM87" s="161">
        <v>2694</v>
      </c>
      <c r="AN87" s="161">
        <v>-19540</v>
      </c>
      <c r="AO87" s="160">
        <v>-9501</v>
      </c>
      <c r="AQ87" s="160"/>
      <c r="AR87" s="117"/>
      <c r="AS87" s="117"/>
      <c r="AT87" s="99">
        <v>19.25</v>
      </c>
      <c r="AU87" s="130"/>
      <c r="AV87" s="262">
        <v>34</v>
      </c>
      <c r="AW87" s="267">
        <v>36756</v>
      </c>
      <c r="AX87" s="124"/>
      <c r="AY87" s="255">
        <v>1.3687481503403374</v>
      </c>
      <c r="AZ87" s="259">
        <v>77.247483965166609</v>
      </c>
      <c r="BA87" s="160">
        <v>-6679.6441397322887</v>
      </c>
      <c r="BB87" s="130"/>
      <c r="BC87" s="130"/>
      <c r="BD87" s="130"/>
      <c r="BE87" s="128">
        <v>53.005047799701295</v>
      </c>
      <c r="BF87" s="160">
        <v>696.07683099357928</v>
      </c>
      <c r="BG87" s="129">
        <v>19.231616304418452</v>
      </c>
      <c r="BH87" s="131">
        <v>12143.133093916638</v>
      </c>
      <c r="BI87" s="124"/>
      <c r="BJ87" s="117">
        <v>189064</v>
      </c>
      <c r="BK87" s="117">
        <v>357082</v>
      </c>
      <c r="BL87" s="161">
        <v>330</v>
      </c>
      <c r="BM87" s="161">
        <v>-167688</v>
      </c>
      <c r="BN87" s="117">
        <v>156821</v>
      </c>
      <c r="BO87" s="117">
        <v>37655</v>
      </c>
      <c r="BP87" s="136"/>
      <c r="BR87" s="160">
        <v>-1546</v>
      </c>
      <c r="BS87" s="160">
        <v>828</v>
      </c>
      <c r="BT87" s="161">
        <v>26070</v>
      </c>
      <c r="BU87" s="125">
        <v>34923</v>
      </c>
      <c r="BV87" s="160">
        <v>14166</v>
      </c>
      <c r="BX87" s="161">
        <v>5313</v>
      </c>
      <c r="BY87" s="160">
        <v>28</v>
      </c>
      <c r="BZ87" s="160">
        <v>-1</v>
      </c>
      <c r="CA87" s="161">
        <v>19</v>
      </c>
      <c r="CB87" s="161">
        <v>-274</v>
      </c>
      <c r="CC87" s="160">
        <v>5047</v>
      </c>
      <c r="CD87" s="160">
        <v>144477</v>
      </c>
      <c r="CE87" s="116">
        <v>37481</v>
      </c>
      <c r="CF87" s="150"/>
      <c r="CG87" s="160">
        <v>573</v>
      </c>
      <c r="CH87" s="160">
        <v>-18594</v>
      </c>
      <c r="CI87" s="159">
        <v>-16507</v>
      </c>
      <c r="CK87" s="124"/>
      <c r="CL87" s="161"/>
      <c r="CM87" s="124"/>
      <c r="CN87" s="265">
        <v>19.25</v>
      </c>
      <c r="CO87" s="130"/>
      <c r="CP87" s="116">
        <v>55</v>
      </c>
      <c r="CQ87" s="267">
        <v>37105</v>
      </c>
      <c r="CR87" s="124"/>
      <c r="CS87" s="268">
        <v>1.0019588090441012</v>
      </c>
      <c r="CT87" s="269">
        <v>78.276786990971985</v>
      </c>
      <c r="CU87" s="160">
        <v>-7224.4441449939359</v>
      </c>
      <c r="CV87" s="130"/>
      <c r="CW87" s="130"/>
      <c r="CX87" s="130"/>
      <c r="CY87" s="269">
        <v>50.639191494946843</v>
      </c>
      <c r="CZ87" s="125">
        <v>691.7935588195661</v>
      </c>
      <c r="DA87" s="125">
        <v>19.433022834232474</v>
      </c>
      <c r="DB87" s="273">
        <v>12993.585770111844</v>
      </c>
      <c r="DC87" s="124"/>
      <c r="DD87" s="117">
        <v>187045</v>
      </c>
      <c r="DE87" s="117">
        <v>370258</v>
      </c>
      <c r="DF87" s="117">
        <v>274</v>
      </c>
      <c r="DG87" s="117">
        <v>-182939</v>
      </c>
      <c r="DH87" s="117">
        <v>162412</v>
      </c>
      <c r="DI87" s="117">
        <v>56169</v>
      </c>
      <c r="DJ87" s="136"/>
      <c r="DL87" s="160">
        <v>-1531</v>
      </c>
      <c r="DM87" s="160">
        <v>46</v>
      </c>
      <c r="DN87" s="161">
        <v>34157</v>
      </c>
      <c r="DO87" s="116">
        <v>36146</v>
      </c>
      <c r="DP87" s="160">
        <v>2695</v>
      </c>
      <c r="DR87" s="161">
        <v>706</v>
      </c>
      <c r="DS87" s="116">
        <v>71</v>
      </c>
      <c r="DT87" s="116">
        <v>0</v>
      </c>
      <c r="DU87" s="117">
        <v>12</v>
      </c>
      <c r="DV87" s="117">
        <v>-99</v>
      </c>
      <c r="DW87" s="160">
        <v>666</v>
      </c>
      <c r="DX87" s="160">
        <v>145143</v>
      </c>
      <c r="DY87" s="116">
        <v>29540</v>
      </c>
      <c r="DZ87" s="150"/>
      <c r="EA87" s="116">
        <v>1362</v>
      </c>
      <c r="EB87" s="116">
        <v>-34087</v>
      </c>
      <c r="EC87" s="159">
        <v>-30076</v>
      </c>
      <c r="EE87" s="125"/>
      <c r="EF87" s="161"/>
      <c r="EG87" s="124"/>
      <c r="EH87" s="253">
        <v>19.25</v>
      </c>
      <c r="EI87" s="130"/>
      <c r="EJ87" s="125">
        <v>176</v>
      </c>
      <c r="EK87" s="116"/>
      <c r="EL87" s="159"/>
      <c r="EN87" s="116"/>
      <c r="EO87" s="116"/>
      <c r="EP87" s="159"/>
      <c r="EQ87" s="159">
        <v>-44837</v>
      </c>
      <c r="ER87" s="116">
        <v>84</v>
      </c>
      <c r="ES87" s="116">
        <v>7318</v>
      </c>
      <c r="ET87" s="160">
        <v>-68577</v>
      </c>
      <c r="EU87" s="116">
        <v>215</v>
      </c>
      <c r="EV87" s="116">
        <v>14374</v>
      </c>
      <c r="EW87" s="160">
        <v>-75163</v>
      </c>
      <c r="EX87" s="160">
        <v>211</v>
      </c>
      <c r="EY87" s="160">
        <v>15336</v>
      </c>
      <c r="EZ87" s="116">
        <v>21700</v>
      </c>
      <c r="FA87" s="116">
        <v>-9</v>
      </c>
      <c r="FB87" s="116">
        <v>29099</v>
      </c>
      <c r="FC87" s="160">
        <v>1752</v>
      </c>
      <c r="FD87" s="116">
        <v>52529</v>
      </c>
      <c r="FE87" s="116">
        <v>3505</v>
      </c>
      <c r="FF87" s="3">
        <v>179815</v>
      </c>
      <c r="FG87" s="3">
        <v>150801</v>
      </c>
      <c r="FH87" s="3">
        <v>29014</v>
      </c>
      <c r="FI87" s="3">
        <v>80</v>
      </c>
      <c r="FJ87" s="125">
        <v>191426</v>
      </c>
      <c r="FK87" s="160">
        <v>148850</v>
      </c>
      <c r="FL87" s="125">
        <v>42576</v>
      </c>
      <c r="FM87" s="116">
        <v>87</v>
      </c>
      <c r="FN87" s="125">
        <v>205883</v>
      </c>
      <c r="FO87" s="116">
        <v>169007</v>
      </c>
      <c r="FP87" s="116">
        <v>36876</v>
      </c>
      <c r="FQ87" s="116">
        <v>1362</v>
      </c>
      <c r="FR87" s="153">
        <v>5664</v>
      </c>
      <c r="FS87" s="153">
        <v>6631</v>
      </c>
      <c r="FT87" s="276">
        <v>5932</v>
      </c>
      <c r="FU87" s="3">
        <v>27661</v>
      </c>
      <c r="FV87" s="159">
        <v>27127</v>
      </c>
      <c r="FW87" s="170"/>
      <c r="FZ87" s="155"/>
      <c r="GA87" s="2"/>
      <c r="GD87" s="163"/>
      <c r="GE87" s="2"/>
      <c r="GF87" s="2"/>
    </row>
    <row r="88" spans="1:188" ht="14.5" x14ac:dyDescent="0.35">
      <c r="A88" s="72">
        <v>249</v>
      </c>
      <c r="B88" s="70" t="s">
        <v>85</v>
      </c>
      <c r="C88" s="158">
        <v>9762</v>
      </c>
      <c r="D88" s="171"/>
      <c r="E88" s="128">
        <v>1.9616748269458044</v>
      </c>
      <c r="F88" s="128">
        <v>112.17781315028063</v>
      </c>
      <c r="G88" s="129">
        <v>-12138.803523868059</v>
      </c>
      <c r="H88" s="216"/>
      <c r="I88" s="172"/>
      <c r="J88" s="218"/>
      <c r="K88" s="128">
        <v>27.256279432822087</v>
      </c>
      <c r="L88" s="129">
        <v>679.77873386601107</v>
      </c>
      <c r="M88" s="129">
        <v>18.689928701503135</v>
      </c>
      <c r="N88" s="129">
        <v>13275.558287236223</v>
      </c>
      <c r="O88" s="129"/>
      <c r="P88" s="117">
        <v>55436</v>
      </c>
      <c r="Q88" s="161">
        <v>109333</v>
      </c>
      <c r="R88" s="161">
        <v>217</v>
      </c>
      <c r="S88" s="161">
        <v>-53680</v>
      </c>
      <c r="T88" s="124">
        <v>34185</v>
      </c>
      <c r="U88" s="124">
        <v>31000</v>
      </c>
      <c r="V88" s="136"/>
      <c r="X88" s="116">
        <v>-628</v>
      </c>
      <c r="Y88" s="116">
        <v>70</v>
      </c>
      <c r="Z88" s="161">
        <v>10947</v>
      </c>
      <c r="AA88" s="116">
        <v>10153</v>
      </c>
      <c r="AB88" s="116">
        <v>0</v>
      </c>
      <c r="AD88" s="161">
        <v>794</v>
      </c>
      <c r="AE88" s="117">
        <v>-379</v>
      </c>
      <c r="AF88" s="117">
        <v>-1</v>
      </c>
      <c r="AG88" s="116">
        <v>-80</v>
      </c>
      <c r="AH88" s="116">
        <v>-155</v>
      </c>
      <c r="AI88" s="160">
        <v>179</v>
      </c>
      <c r="AJ88" s="161">
        <v>14074</v>
      </c>
      <c r="AK88" s="161">
        <v>10350</v>
      </c>
      <c r="AL88" s="150"/>
      <c r="AM88" s="161">
        <v>-570</v>
      </c>
      <c r="AN88" s="161">
        <v>-5251</v>
      </c>
      <c r="AO88" s="160">
        <v>-2617</v>
      </c>
      <c r="AQ88" s="160"/>
      <c r="AR88" s="117"/>
      <c r="AS88" s="117"/>
      <c r="AT88" s="99">
        <v>21.5</v>
      </c>
      <c r="AU88" s="130"/>
      <c r="AV88" s="262">
        <v>15</v>
      </c>
      <c r="AW88" s="267">
        <v>9605</v>
      </c>
      <c r="AX88" s="124"/>
      <c r="AY88" s="255">
        <v>0.92940558981760923</v>
      </c>
      <c r="AZ88" s="259">
        <v>120.31836395828569</v>
      </c>
      <c r="BA88" s="160">
        <v>-13375.32535137949</v>
      </c>
      <c r="BB88" s="130"/>
      <c r="BC88" s="130"/>
      <c r="BD88" s="130"/>
      <c r="BE88" s="128">
        <v>27.090872997694198</v>
      </c>
      <c r="BF88" s="160">
        <v>599.68766267568969</v>
      </c>
      <c r="BG88" s="129">
        <v>17.78494623655914</v>
      </c>
      <c r="BH88" s="131">
        <v>14136.387298282145</v>
      </c>
      <c r="BI88" s="124"/>
      <c r="BJ88" s="117">
        <v>53344</v>
      </c>
      <c r="BK88" s="117">
        <v>111365</v>
      </c>
      <c r="BL88" s="161">
        <v>252</v>
      </c>
      <c r="BM88" s="161">
        <v>-57769</v>
      </c>
      <c r="BN88" s="117">
        <v>33607</v>
      </c>
      <c r="BO88" s="117">
        <v>31090</v>
      </c>
      <c r="BP88" s="136"/>
      <c r="BR88" s="160">
        <v>-579</v>
      </c>
      <c r="BS88" s="160">
        <v>107</v>
      </c>
      <c r="BT88" s="161">
        <v>6456</v>
      </c>
      <c r="BU88" s="125">
        <v>10045</v>
      </c>
      <c r="BV88" s="160">
        <v>0</v>
      </c>
      <c r="BX88" s="161">
        <v>-3589</v>
      </c>
      <c r="BY88" s="161">
        <v>-93</v>
      </c>
      <c r="BZ88" s="160">
        <v>1</v>
      </c>
      <c r="CA88" s="160">
        <v>6</v>
      </c>
      <c r="CB88" s="160">
        <v>-9</v>
      </c>
      <c r="CC88" s="160">
        <v>-3696</v>
      </c>
      <c r="CD88" s="160">
        <v>10512</v>
      </c>
      <c r="CE88" s="116">
        <v>6702</v>
      </c>
      <c r="CF88" s="150"/>
      <c r="CG88" s="161">
        <v>2961</v>
      </c>
      <c r="CH88" s="160">
        <v>-6994</v>
      </c>
      <c r="CI88" s="159">
        <v>-9862</v>
      </c>
      <c r="CK88" s="124"/>
      <c r="CL88" s="161"/>
      <c r="CM88" s="124"/>
      <c r="CN88" s="265">
        <v>21.5</v>
      </c>
      <c r="CO88" s="130"/>
      <c r="CP88" s="116">
        <v>66</v>
      </c>
      <c r="CQ88" s="267">
        <v>9486</v>
      </c>
      <c r="CR88" s="124"/>
      <c r="CS88" s="268">
        <v>1.9050980392156862</v>
      </c>
      <c r="CT88" s="269">
        <v>116.25094914230195</v>
      </c>
      <c r="CU88" s="160">
        <v>-13539.531941808982</v>
      </c>
      <c r="CV88" s="130"/>
      <c r="CW88" s="130"/>
      <c r="CX88" s="130"/>
      <c r="CY88" s="269">
        <v>27.839133362140871</v>
      </c>
      <c r="CZ88" s="125">
        <v>661.81741513809823</v>
      </c>
      <c r="DA88" s="125">
        <v>17.480394849261565</v>
      </c>
      <c r="DB88" s="273">
        <v>13819.101834282099</v>
      </c>
      <c r="DC88" s="124"/>
      <c r="DD88" s="117">
        <v>52208</v>
      </c>
      <c r="DE88" s="117">
        <v>110749</v>
      </c>
      <c r="DF88" s="117">
        <v>274</v>
      </c>
      <c r="DG88" s="117">
        <v>-58267</v>
      </c>
      <c r="DH88" s="117">
        <v>35357</v>
      </c>
      <c r="DI88" s="117">
        <v>34914</v>
      </c>
      <c r="DJ88" s="136"/>
      <c r="DL88" s="160">
        <v>-523</v>
      </c>
      <c r="DM88" s="160">
        <v>95</v>
      </c>
      <c r="DN88" s="161">
        <v>11576</v>
      </c>
      <c r="DO88" s="116">
        <v>9827</v>
      </c>
      <c r="DP88" s="160">
        <v>0</v>
      </c>
      <c r="DR88" s="161">
        <v>1749</v>
      </c>
      <c r="DS88" s="117">
        <v>71</v>
      </c>
      <c r="DT88" s="116">
        <v>67</v>
      </c>
      <c r="DU88" s="116">
        <v>20</v>
      </c>
      <c r="DV88" s="116">
        <v>65</v>
      </c>
      <c r="DW88" s="160">
        <v>1932</v>
      </c>
      <c r="DX88" s="160">
        <v>12151</v>
      </c>
      <c r="DY88" s="116">
        <v>11397</v>
      </c>
      <c r="DZ88" s="150"/>
      <c r="EA88" s="117">
        <v>460</v>
      </c>
      <c r="EB88" s="116">
        <v>-5806</v>
      </c>
      <c r="EC88" s="159">
        <v>-747</v>
      </c>
      <c r="EE88" s="125"/>
      <c r="EF88" s="161"/>
      <c r="EG88" s="124"/>
      <c r="EH88" s="253">
        <v>21.5</v>
      </c>
      <c r="EI88" s="130"/>
      <c r="EJ88" s="125">
        <v>68</v>
      </c>
      <c r="EK88" s="116"/>
      <c r="EL88" s="159"/>
      <c r="EN88" s="116"/>
      <c r="EO88" s="116"/>
      <c r="EP88" s="159"/>
      <c r="EQ88" s="159">
        <v>-14242</v>
      </c>
      <c r="ER88" s="116">
        <v>41</v>
      </c>
      <c r="ES88" s="116">
        <v>1234</v>
      </c>
      <c r="ET88" s="160">
        <v>-16752</v>
      </c>
      <c r="EU88" s="116">
        <v>8</v>
      </c>
      <c r="EV88" s="116">
        <v>180</v>
      </c>
      <c r="EW88" s="160">
        <v>-13932</v>
      </c>
      <c r="EX88" s="160">
        <v>2</v>
      </c>
      <c r="EY88" s="160">
        <v>1786</v>
      </c>
      <c r="EZ88" s="116">
        <v>4660</v>
      </c>
      <c r="FA88" s="116">
        <v>2398</v>
      </c>
      <c r="FB88" s="116">
        <v>11132</v>
      </c>
      <c r="FC88" s="160">
        <v>3267</v>
      </c>
      <c r="FD88" s="116">
        <v>7445</v>
      </c>
      <c r="FE88" s="116">
        <v>-1141</v>
      </c>
      <c r="FF88" s="3">
        <v>102233</v>
      </c>
      <c r="FG88" s="3">
        <v>59095</v>
      </c>
      <c r="FH88" s="3">
        <v>43138</v>
      </c>
      <c r="FI88" s="3">
        <v>0</v>
      </c>
      <c r="FJ88" s="125">
        <v>110156</v>
      </c>
      <c r="FK88" s="160">
        <v>62995</v>
      </c>
      <c r="FL88" s="125">
        <v>47161</v>
      </c>
      <c r="FM88" s="116">
        <v>0</v>
      </c>
      <c r="FN88" s="125">
        <v>110651</v>
      </c>
      <c r="FO88" s="116">
        <v>64491</v>
      </c>
      <c r="FP88" s="116">
        <v>46160</v>
      </c>
      <c r="FQ88" s="116">
        <v>460</v>
      </c>
      <c r="FR88" s="153">
        <v>675</v>
      </c>
      <c r="FS88" s="153">
        <v>638</v>
      </c>
      <c r="FT88" s="276">
        <v>587</v>
      </c>
      <c r="FU88" s="3">
        <v>1707</v>
      </c>
      <c r="FV88" s="159">
        <v>1811</v>
      </c>
      <c r="FW88" s="170"/>
      <c r="FZ88" s="155"/>
      <c r="GA88" s="2"/>
      <c r="GD88" s="163"/>
      <c r="GE88" s="2"/>
      <c r="GF88" s="2"/>
    </row>
    <row r="89" spans="1:188" ht="14.5" x14ac:dyDescent="0.35">
      <c r="A89" s="72">
        <v>250</v>
      </c>
      <c r="B89" s="70" t="s">
        <v>86</v>
      </c>
      <c r="C89" s="158">
        <v>1910</v>
      </c>
      <c r="D89" s="171"/>
      <c r="E89" s="128">
        <v>1.2313432835820894</v>
      </c>
      <c r="F89" s="128">
        <v>63.911380458000096</v>
      </c>
      <c r="G89" s="129">
        <v>-4667.5392670157071</v>
      </c>
      <c r="H89" s="216"/>
      <c r="I89" s="172"/>
      <c r="J89" s="218"/>
      <c r="K89" s="128">
        <v>32.99805805905492</v>
      </c>
      <c r="L89" s="129">
        <v>1492.1465968586388</v>
      </c>
      <c r="M89" s="129">
        <v>48.648459056259647</v>
      </c>
      <c r="N89" s="129">
        <v>11195.287958115185</v>
      </c>
      <c r="O89" s="129"/>
      <c r="P89" s="117">
        <v>6900</v>
      </c>
      <c r="Q89" s="161">
        <v>19089</v>
      </c>
      <c r="R89" s="161">
        <v>1</v>
      </c>
      <c r="S89" s="161">
        <v>-12188</v>
      </c>
      <c r="T89" s="124">
        <v>5774</v>
      </c>
      <c r="U89" s="124">
        <v>7457</v>
      </c>
      <c r="V89" s="136"/>
      <c r="X89" s="116">
        <v>-141</v>
      </c>
      <c r="Y89" s="116">
        <v>109</v>
      </c>
      <c r="Z89" s="161">
        <v>1011</v>
      </c>
      <c r="AA89" s="116">
        <v>894</v>
      </c>
      <c r="AB89" s="116">
        <v>0</v>
      </c>
      <c r="AD89" s="161">
        <v>117</v>
      </c>
      <c r="AE89" s="116">
        <v>-16</v>
      </c>
      <c r="AF89" s="116">
        <v>0</v>
      </c>
      <c r="AG89" s="116">
        <v>-11</v>
      </c>
      <c r="AH89" s="116">
        <v>-1</v>
      </c>
      <c r="AI89" s="160">
        <v>89</v>
      </c>
      <c r="AJ89" s="161">
        <v>-424</v>
      </c>
      <c r="AK89" s="161">
        <v>692</v>
      </c>
      <c r="AL89" s="150"/>
      <c r="AM89" s="161">
        <v>497</v>
      </c>
      <c r="AN89" s="161">
        <v>-794</v>
      </c>
      <c r="AO89" s="160">
        <v>-244</v>
      </c>
      <c r="AQ89" s="160"/>
      <c r="AR89" s="117"/>
      <c r="AS89" s="117"/>
      <c r="AT89" s="99">
        <v>21.5</v>
      </c>
      <c r="AU89" s="130"/>
      <c r="AV89" s="262">
        <v>130</v>
      </c>
      <c r="AW89" s="267">
        <v>1865</v>
      </c>
      <c r="AX89" s="124"/>
      <c r="AY89" s="255">
        <v>0.86630434782608701</v>
      </c>
      <c r="AZ89" s="259">
        <v>62.760882528324387</v>
      </c>
      <c r="BA89" s="160">
        <v>-5233.2439678284181</v>
      </c>
      <c r="BB89" s="130"/>
      <c r="BC89" s="130"/>
      <c r="BD89" s="130"/>
      <c r="BE89" s="128">
        <v>33.263373432301002</v>
      </c>
      <c r="BF89" s="160">
        <v>1003.7533512064342</v>
      </c>
      <c r="BG89" s="129">
        <v>47.796016230173372</v>
      </c>
      <c r="BH89" s="131">
        <v>11628.954423592493</v>
      </c>
      <c r="BI89" s="124"/>
      <c r="BJ89" s="117">
        <v>6765</v>
      </c>
      <c r="BK89" s="117">
        <v>19285</v>
      </c>
      <c r="BL89" s="161">
        <v>-3</v>
      </c>
      <c r="BM89" s="161">
        <v>-12523</v>
      </c>
      <c r="BN89" s="117">
        <v>5713</v>
      </c>
      <c r="BO89" s="117">
        <v>7646</v>
      </c>
      <c r="BP89" s="136"/>
      <c r="BR89" s="160">
        <v>-138</v>
      </c>
      <c r="BS89" s="160">
        <v>-42</v>
      </c>
      <c r="BT89" s="161">
        <v>656</v>
      </c>
      <c r="BU89" s="125">
        <v>873</v>
      </c>
      <c r="BV89" s="160">
        <v>0</v>
      </c>
      <c r="BX89" s="161">
        <v>-217</v>
      </c>
      <c r="BY89" s="160">
        <v>-15</v>
      </c>
      <c r="BZ89" s="160">
        <v>0</v>
      </c>
      <c r="CA89" s="160">
        <v>9</v>
      </c>
      <c r="CB89" s="160">
        <v>-1</v>
      </c>
      <c r="CC89" s="160">
        <v>-242</v>
      </c>
      <c r="CD89" s="160">
        <v>-666</v>
      </c>
      <c r="CE89" s="116">
        <v>592</v>
      </c>
      <c r="CF89" s="150"/>
      <c r="CG89" s="161">
        <v>122</v>
      </c>
      <c r="CH89" s="160">
        <v>-779</v>
      </c>
      <c r="CI89" s="159">
        <v>-822</v>
      </c>
      <c r="CK89" s="124"/>
      <c r="CL89" s="161"/>
      <c r="CM89" s="124"/>
      <c r="CN89" s="265">
        <v>21.5</v>
      </c>
      <c r="CO89" s="130"/>
      <c r="CP89" s="116">
        <v>184</v>
      </c>
      <c r="CQ89" s="267">
        <v>1822</v>
      </c>
      <c r="CR89" s="124"/>
      <c r="CS89" s="268">
        <v>1.3418867924528302</v>
      </c>
      <c r="CT89" s="269">
        <v>60.645888096132182</v>
      </c>
      <c r="CU89" s="160">
        <v>-4942.3710208562015</v>
      </c>
      <c r="CV89" s="130"/>
      <c r="CW89" s="130"/>
      <c r="CX89" s="130"/>
      <c r="CY89" s="269">
        <v>34.9658203125</v>
      </c>
      <c r="CZ89" s="125">
        <v>1508.7815587266739</v>
      </c>
      <c r="DA89" s="125">
        <v>44.738050650971999</v>
      </c>
      <c r="DB89" s="273">
        <v>12309.549945115257</v>
      </c>
      <c r="DC89" s="124"/>
      <c r="DD89" s="117">
        <v>7805</v>
      </c>
      <c r="DE89" s="117">
        <v>19577</v>
      </c>
      <c r="DF89" s="117">
        <v>15</v>
      </c>
      <c r="DG89" s="117">
        <v>-11757</v>
      </c>
      <c r="DH89" s="117">
        <v>5856</v>
      </c>
      <c r="DI89" s="117">
        <v>7643</v>
      </c>
      <c r="DJ89" s="136"/>
      <c r="DL89" s="160">
        <v>-136</v>
      </c>
      <c r="DM89" s="160">
        <v>33</v>
      </c>
      <c r="DN89" s="161">
        <v>1639</v>
      </c>
      <c r="DO89" s="116">
        <v>949</v>
      </c>
      <c r="DP89" s="160">
        <v>0</v>
      </c>
      <c r="DR89" s="161">
        <v>690</v>
      </c>
      <c r="DS89" s="116">
        <v>-53</v>
      </c>
      <c r="DT89" s="116">
        <v>0</v>
      </c>
      <c r="DU89" s="116">
        <v>29</v>
      </c>
      <c r="DV89" s="116">
        <v>-3</v>
      </c>
      <c r="DW89" s="160">
        <v>605</v>
      </c>
      <c r="DX89" s="160">
        <v>-61</v>
      </c>
      <c r="DY89" s="116">
        <v>1510</v>
      </c>
      <c r="DZ89" s="150"/>
      <c r="EA89" s="117">
        <v>47</v>
      </c>
      <c r="EB89" s="116">
        <v>-1186</v>
      </c>
      <c r="EC89" s="159">
        <v>1256</v>
      </c>
      <c r="EE89" s="125"/>
      <c r="EF89" s="161"/>
      <c r="EG89" s="124"/>
      <c r="EH89" s="253">
        <v>21.5</v>
      </c>
      <c r="EI89" s="130"/>
      <c r="EJ89" s="125">
        <v>193</v>
      </c>
      <c r="EK89" s="116"/>
      <c r="EL89" s="159"/>
      <c r="EN89" s="116"/>
      <c r="EO89" s="116"/>
      <c r="EP89" s="159"/>
      <c r="EQ89" s="159">
        <v>-1317</v>
      </c>
      <c r="ER89" s="116">
        <v>32</v>
      </c>
      <c r="ES89" s="116">
        <v>349</v>
      </c>
      <c r="ET89" s="160">
        <v>-1424</v>
      </c>
      <c r="EU89" s="116">
        <v>2</v>
      </c>
      <c r="EV89" s="116">
        <v>8</v>
      </c>
      <c r="EW89" s="160">
        <v>-909</v>
      </c>
      <c r="EX89" s="160">
        <v>14</v>
      </c>
      <c r="EY89" s="160">
        <v>641</v>
      </c>
      <c r="EZ89" s="116">
        <v>586</v>
      </c>
      <c r="FA89" s="116">
        <v>-7</v>
      </c>
      <c r="FB89" s="116">
        <v>499</v>
      </c>
      <c r="FC89" s="160">
        <v>1</v>
      </c>
      <c r="FD89" s="116">
        <v>1141</v>
      </c>
      <c r="FE89" s="116">
        <v>101</v>
      </c>
      <c r="FF89" s="3">
        <v>10566</v>
      </c>
      <c r="FG89" s="3">
        <v>9797</v>
      </c>
      <c r="FH89" s="3">
        <v>769</v>
      </c>
      <c r="FI89" s="3">
        <v>23</v>
      </c>
      <c r="FJ89" s="125">
        <v>10285</v>
      </c>
      <c r="FK89" s="160">
        <v>9528</v>
      </c>
      <c r="FL89" s="125">
        <v>757</v>
      </c>
      <c r="FM89" s="116">
        <v>34</v>
      </c>
      <c r="FN89" s="125">
        <v>10562</v>
      </c>
      <c r="FO89" s="116">
        <v>9745</v>
      </c>
      <c r="FP89" s="116">
        <v>817</v>
      </c>
      <c r="FQ89" s="116">
        <v>47</v>
      </c>
      <c r="FR89" s="153">
        <v>3208</v>
      </c>
      <c r="FS89" s="153">
        <v>3150</v>
      </c>
      <c r="FT89" s="276">
        <v>3112</v>
      </c>
      <c r="FU89" s="3">
        <v>2104</v>
      </c>
      <c r="FV89" s="159">
        <v>2478</v>
      </c>
      <c r="FW89" s="170"/>
      <c r="FZ89" s="155"/>
      <c r="GA89" s="2"/>
      <c r="GD89" s="163"/>
      <c r="GE89" s="2"/>
      <c r="GF89" s="2"/>
    </row>
    <row r="90" spans="1:188" ht="14.5" x14ac:dyDescent="0.35">
      <c r="A90" s="72">
        <v>256</v>
      </c>
      <c r="B90" s="70" t="s">
        <v>87</v>
      </c>
      <c r="C90" s="158">
        <v>1615</v>
      </c>
      <c r="D90" s="171"/>
      <c r="E90" s="128">
        <v>-1.8850574712643677</v>
      </c>
      <c r="F90" s="128">
        <v>68.297422415271186</v>
      </c>
      <c r="G90" s="129">
        <v>-3432.8173374613002</v>
      </c>
      <c r="H90" s="216"/>
      <c r="I90" s="172"/>
      <c r="J90" s="218"/>
      <c r="K90" s="128">
        <v>51.5714342048188</v>
      </c>
      <c r="L90" s="129">
        <v>1585.7585139318885</v>
      </c>
      <c r="M90" s="129">
        <v>45.591620738428524</v>
      </c>
      <c r="N90" s="129">
        <v>12695.356037151703</v>
      </c>
      <c r="O90" s="129"/>
      <c r="P90" s="117">
        <v>5903</v>
      </c>
      <c r="Q90" s="161">
        <v>17749</v>
      </c>
      <c r="R90" s="161">
        <v>-29</v>
      </c>
      <c r="S90" s="161">
        <v>-11875</v>
      </c>
      <c r="T90" s="124">
        <v>4599</v>
      </c>
      <c r="U90" s="124">
        <v>6995</v>
      </c>
      <c r="V90" s="136"/>
      <c r="X90" s="116">
        <v>74</v>
      </c>
      <c r="Y90" s="116">
        <v>38</v>
      </c>
      <c r="Z90" s="161">
        <v>-169</v>
      </c>
      <c r="AA90" s="116">
        <v>1042</v>
      </c>
      <c r="AB90" s="116">
        <v>0</v>
      </c>
      <c r="AD90" s="161">
        <v>-1211</v>
      </c>
      <c r="AE90" s="117">
        <v>0</v>
      </c>
      <c r="AF90" s="117">
        <v>0</v>
      </c>
      <c r="AG90" s="116">
        <v>0</v>
      </c>
      <c r="AH90" s="116">
        <v>0</v>
      </c>
      <c r="AI90" s="160">
        <v>-1211</v>
      </c>
      <c r="AJ90" s="161">
        <v>6144</v>
      </c>
      <c r="AK90" s="161">
        <v>-169</v>
      </c>
      <c r="AL90" s="150"/>
      <c r="AM90" s="161">
        <v>0</v>
      </c>
      <c r="AN90" s="161">
        <v>-82</v>
      </c>
      <c r="AO90" s="160">
        <v>-2740</v>
      </c>
      <c r="AQ90" s="160"/>
      <c r="AR90" s="117"/>
      <c r="AS90" s="117"/>
      <c r="AT90" s="99">
        <v>20.5</v>
      </c>
      <c r="AU90" s="130"/>
      <c r="AV90" s="262">
        <v>288</v>
      </c>
      <c r="AW90" s="267">
        <v>1620</v>
      </c>
      <c r="AX90" s="124"/>
      <c r="AY90" s="255">
        <v>-3.6627906976744184</v>
      </c>
      <c r="AZ90" s="259">
        <v>71.938223058072609</v>
      </c>
      <c r="BA90" s="160">
        <v>-4857.4074074074078</v>
      </c>
      <c r="BB90" s="130"/>
      <c r="BC90" s="130"/>
      <c r="BD90" s="130"/>
      <c r="BE90" s="128">
        <v>47.541050735023134</v>
      </c>
      <c r="BF90" s="160">
        <v>1243.2098765432097</v>
      </c>
      <c r="BG90" s="129">
        <v>46.323653302938702</v>
      </c>
      <c r="BH90" s="131">
        <v>12456.172839506173</v>
      </c>
      <c r="BI90" s="124"/>
      <c r="BJ90" s="117">
        <v>6148</v>
      </c>
      <c r="BK90" s="117">
        <v>17942</v>
      </c>
      <c r="BL90" s="161">
        <v>-25</v>
      </c>
      <c r="BM90" s="161">
        <v>-11819</v>
      </c>
      <c r="BN90" s="117">
        <v>4432</v>
      </c>
      <c r="BO90" s="117">
        <v>6967</v>
      </c>
      <c r="BP90" s="136"/>
      <c r="BR90" s="160">
        <v>58</v>
      </c>
      <c r="BS90" s="160">
        <v>40</v>
      </c>
      <c r="BT90" s="161">
        <v>-322</v>
      </c>
      <c r="BU90" s="125">
        <v>1078</v>
      </c>
      <c r="BV90" s="160">
        <v>0</v>
      </c>
      <c r="BW90" s="117"/>
      <c r="BX90" s="161">
        <v>-1400</v>
      </c>
      <c r="BY90" s="161">
        <v>-5</v>
      </c>
      <c r="BZ90" s="160">
        <v>0</v>
      </c>
      <c r="CA90" s="160">
        <v>0</v>
      </c>
      <c r="CB90" s="160">
        <v>0</v>
      </c>
      <c r="CC90" s="160">
        <v>-1405</v>
      </c>
      <c r="CD90" s="160">
        <v>3240</v>
      </c>
      <c r="CE90" s="116">
        <v>-236</v>
      </c>
      <c r="CF90" s="150"/>
      <c r="CG90" s="160">
        <v>1125</v>
      </c>
      <c r="CH90" s="160">
        <v>-79</v>
      </c>
      <c r="CI90" s="159">
        <v>-2212</v>
      </c>
      <c r="CK90" s="124"/>
      <c r="CL90" s="161"/>
      <c r="CM90" s="124"/>
      <c r="CN90" s="265">
        <v>21</v>
      </c>
      <c r="CO90" s="130"/>
      <c r="CP90" s="116">
        <v>283</v>
      </c>
      <c r="CQ90" s="267">
        <v>1597</v>
      </c>
      <c r="CR90" s="124"/>
      <c r="CS90" s="268">
        <v>5.9576271186440675</v>
      </c>
      <c r="CT90" s="269">
        <v>72.43379706719665</v>
      </c>
      <c r="CU90" s="160">
        <v>-5747.6518472135258</v>
      </c>
      <c r="CV90" s="130"/>
      <c r="CW90" s="130"/>
      <c r="CX90" s="130"/>
      <c r="CY90" s="269">
        <v>45.519327998726062</v>
      </c>
      <c r="CZ90" s="125">
        <v>1154.0388227927363</v>
      </c>
      <c r="DA90" s="125">
        <v>32.690008747205752</v>
      </c>
      <c r="DB90" s="273">
        <v>12885.410144020037</v>
      </c>
      <c r="DC90" s="124"/>
      <c r="DD90" s="117">
        <v>5807</v>
      </c>
      <c r="DE90" s="117">
        <v>17979</v>
      </c>
      <c r="DF90" s="117">
        <v>-25</v>
      </c>
      <c r="DG90" s="117">
        <v>-12197</v>
      </c>
      <c r="DH90" s="117">
        <v>4958</v>
      </c>
      <c r="DI90" s="117">
        <v>7852</v>
      </c>
      <c r="DJ90" s="136"/>
      <c r="DL90" s="160">
        <v>63</v>
      </c>
      <c r="DM90" s="160">
        <v>19</v>
      </c>
      <c r="DN90" s="161">
        <v>695</v>
      </c>
      <c r="DO90" s="116">
        <v>1052</v>
      </c>
      <c r="DP90" s="160">
        <v>0</v>
      </c>
      <c r="DQ90" s="117"/>
      <c r="DR90" s="161">
        <v>-357</v>
      </c>
      <c r="DS90" s="117">
        <v>-3</v>
      </c>
      <c r="DT90" s="116">
        <v>0</v>
      </c>
      <c r="DU90" s="116">
        <v>0</v>
      </c>
      <c r="DV90" s="116">
        <v>0</v>
      </c>
      <c r="DW90" s="160">
        <v>-360</v>
      </c>
      <c r="DX90" s="160">
        <v>3109</v>
      </c>
      <c r="DY90" s="116">
        <v>899</v>
      </c>
      <c r="DZ90" s="150"/>
      <c r="EA90" s="116">
        <v>275</v>
      </c>
      <c r="EB90" s="116">
        <v>-110</v>
      </c>
      <c r="EC90" s="159">
        <v>-1309</v>
      </c>
      <c r="EE90" s="125"/>
      <c r="EF90" s="161"/>
      <c r="EG90" s="124"/>
      <c r="EH90" s="253">
        <v>21</v>
      </c>
      <c r="EI90" s="130"/>
      <c r="EJ90" s="125">
        <v>286</v>
      </c>
      <c r="EK90" s="116"/>
      <c r="EL90" s="159"/>
      <c r="EN90" s="116"/>
      <c r="EO90" s="116"/>
      <c r="EP90" s="159"/>
      <c r="EQ90" s="159">
        <v>-2610</v>
      </c>
      <c r="ER90" s="116">
        <v>22</v>
      </c>
      <c r="ES90" s="116">
        <v>17</v>
      </c>
      <c r="ET90" s="160">
        <v>-2144</v>
      </c>
      <c r="EU90" s="116">
        <v>13</v>
      </c>
      <c r="EV90" s="116">
        <v>155</v>
      </c>
      <c r="EW90" s="160">
        <v>-2477</v>
      </c>
      <c r="EX90" s="160">
        <v>0</v>
      </c>
      <c r="EY90" s="160">
        <v>269</v>
      </c>
      <c r="EZ90" s="116">
        <v>1015</v>
      </c>
      <c r="FA90" s="116">
        <v>287</v>
      </c>
      <c r="FB90" s="116">
        <v>1489</v>
      </c>
      <c r="FC90" s="160">
        <v>-222</v>
      </c>
      <c r="FD90" s="116">
        <v>3008</v>
      </c>
      <c r="FE90" s="116">
        <v>-2182</v>
      </c>
      <c r="FF90" s="3">
        <v>9199</v>
      </c>
      <c r="FG90" s="3">
        <v>2898</v>
      </c>
      <c r="FH90" s="3">
        <v>6301</v>
      </c>
      <c r="FI90" s="3">
        <v>0</v>
      </c>
      <c r="FJ90" s="125">
        <v>10388</v>
      </c>
      <c r="FK90" s="160">
        <v>4299</v>
      </c>
      <c r="FL90" s="125">
        <v>6089</v>
      </c>
      <c r="FM90" s="116">
        <v>0</v>
      </c>
      <c r="FN90" s="125">
        <v>11095</v>
      </c>
      <c r="FO90" s="116">
        <v>7110</v>
      </c>
      <c r="FP90" s="116">
        <v>3985</v>
      </c>
      <c r="FQ90" s="116">
        <v>275</v>
      </c>
      <c r="FR90" s="153">
        <v>161</v>
      </c>
      <c r="FS90" s="153">
        <v>160</v>
      </c>
      <c r="FT90" s="276">
        <v>160</v>
      </c>
      <c r="FU90" s="3">
        <v>220</v>
      </c>
      <c r="FV90" s="159">
        <v>191</v>
      </c>
      <c r="FW90" s="170"/>
      <c r="FZ90" s="155"/>
      <c r="GA90" s="2"/>
      <c r="GD90" s="163"/>
      <c r="GE90" s="2"/>
      <c r="GF90" s="2"/>
    </row>
    <row r="91" spans="1:188" ht="14.5" x14ac:dyDescent="0.35">
      <c r="A91" s="72">
        <v>257</v>
      </c>
      <c r="B91" s="70" t="s">
        <v>88</v>
      </c>
      <c r="C91" s="158">
        <v>39262</v>
      </c>
      <c r="D91" s="171"/>
      <c r="E91" s="128">
        <v>1.1405109489051095</v>
      </c>
      <c r="F91" s="128">
        <v>69.992608798486287</v>
      </c>
      <c r="G91" s="129">
        <v>-4872.6758697977693</v>
      </c>
      <c r="H91" s="216"/>
      <c r="I91" s="172"/>
      <c r="J91" s="218"/>
      <c r="K91" s="128">
        <v>25.78152590878646</v>
      </c>
      <c r="L91" s="129">
        <v>801.5383831694769</v>
      </c>
      <c r="M91" s="129">
        <v>30.912557658874757</v>
      </c>
      <c r="N91" s="129">
        <v>9464.1638225255974</v>
      </c>
      <c r="O91" s="129"/>
      <c r="P91" s="117">
        <v>120214</v>
      </c>
      <c r="Q91" s="161">
        <v>319679</v>
      </c>
      <c r="R91" s="161">
        <v>-59</v>
      </c>
      <c r="S91" s="161">
        <v>-199524</v>
      </c>
      <c r="T91" s="124">
        <v>189339</v>
      </c>
      <c r="U91" s="124">
        <v>28687</v>
      </c>
      <c r="V91" s="136"/>
      <c r="X91" s="116">
        <v>-1542</v>
      </c>
      <c r="Y91" s="116">
        <v>175</v>
      </c>
      <c r="Z91" s="161">
        <v>17135</v>
      </c>
      <c r="AA91" s="116">
        <v>21656</v>
      </c>
      <c r="AB91" s="116">
        <v>-190</v>
      </c>
      <c r="AD91" s="161">
        <v>-4711</v>
      </c>
      <c r="AE91" s="117">
        <v>57</v>
      </c>
      <c r="AF91" s="117">
        <v>48</v>
      </c>
      <c r="AG91" s="116">
        <v>-4</v>
      </c>
      <c r="AH91" s="117">
        <v>-49</v>
      </c>
      <c r="AI91" s="160">
        <v>-4659</v>
      </c>
      <c r="AJ91" s="161">
        <v>22294</v>
      </c>
      <c r="AK91" s="161">
        <v>12692</v>
      </c>
      <c r="AL91" s="150"/>
      <c r="AM91" s="161">
        <v>-85</v>
      </c>
      <c r="AN91" s="161">
        <v>-14825</v>
      </c>
      <c r="AO91" s="160">
        <v>-17434</v>
      </c>
      <c r="AQ91" s="160"/>
      <c r="AR91" s="117"/>
      <c r="AS91" s="117"/>
      <c r="AT91" s="99">
        <v>19.5</v>
      </c>
      <c r="AU91" s="130"/>
      <c r="AV91" s="262">
        <v>166</v>
      </c>
      <c r="AW91" s="267">
        <v>39586</v>
      </c>
      <c r="AX91" s="124"/>
      <c r="AY91" s="255">
        <v>0.19156367544331004</v>
      </c>
      <c r="AZ91" s="259">
        <v>87.238532428338516</v>
      </c>
      <c r="BA91" s="160">
        <v>-6425.9334108017983</v>
      </c>
      <c r="BB91" s="130"/>
      <c r="BC91" s="130"/>
      <c r="BD91" s="130"/>
      <c r="BE91" s="128">
        <v>17.276455668879176</v>
      </c>
      <c r="BF91" s="160">
        <v>693.40170767443033</v>
      </c>
      <c r="BG91" s="129">
        <v>26.925619369765332</v>
      </c>
      <c r="BH91" s="131">
        <v>10776.612943970089</v>
      </c>
      <c r="BI91" s="124"/>
      <c r="BJ91" s="117">
        <v>126520</v>
      </c>
      <c r="BK91" s="117">
        <v>342125</v>
      </c>
      <c r="BL91" s="161">
        <v>-487</v>
      </c>
      <c r="BM91" s="161">
        <v>-216092</v>
      </c>
      <c r="BN91" s="117">
        <v>189925</v>
      </c>
      <c r="BO91" s="117">
        <v>29487</v>
      </c>
      <c r="BP91" s="136"/>
      <c r="BR91" s="160">
        <v>-1735</v>
      </c>
      <c r="BS91" s="160">
        <v>178</v>
      </c>
      <c r="BT91" s="161">
        <v>1763</v>
      </c>
      <c r="BU91" s="125">
        <v>23685</v>
      </c>
      <c r="BV91" s="160">
        <v>0</v>
      </c>
      <c r="BX91" s="161">
        <v>-21922</v>
      </c>
      <c r="BY91" s="161">
        <v>53</v>
      </c>
      <c r="BZ91" s="161">
        <v>-23</v>
      </c>
      <c r="CA91" s="161">
        <v>3</v>
      </c>
      <c r="CB91" s="161">
        <v>5</v>
      </c>
      <c r="CC91" s="160">
        <v>-21890</v>
      </c>
      <c r="CD91" s="160">
        <v>405</v>
      </c>
      <c r="CE91" s="116">
        <v>-1663</v>
      </c>
      <c r="CF91" s="150"/>
      <c r="CG91" s="161">
        <v>-5999</v>
      </c>
      <c r="CH91" s="160">
        <v>-16808</v>
      </c>
      <c r="CI91" s="159">
        <v>-62436</v>
      </c>
      <c r="CK91" s="124"/>
      <c r="CL91" s="161"/>
      <c r="CM91" s="124"/>
      <c r="CN91" s="265">
        <v>19.75</v>
      </c>
      <c r="CO91" s="130"/>
      <c r="CP91" s="116">
        <v>270</v>
      </c>
      <c r="CQ91" s="267">
        <v>40082</v>
      </c>
      <c r="CR91" s="124"/>
      <c r="CS91" s="268">
        <v>1.2411750580324983</v>
      </c>
      <c r="CT91" s="269">
        <v>96.347556377453813</v>
      </c>
      <c r="CU91" s="160">
        <v>-7334.2148595379467</v>
      </c>
      <c r="CV91" s="130"/>
      <c r="CW91" s="130"/>
      <c r="CX91" s="130"/>
      <c r="CY91" s="269">
        <v>15.803354614605277</v>
      </c>
      <c r="CZ91" s="125">
        <v>1098.8723117608904</v>
      </c>
      <c r="DA91" s="125">
        <v>36.25119229355564</v>
      </c>
      <c r="DB91" s="273">
        <v>11064.143505813083</v>
      </c>
      <c r="DC91" s="124"/>
      <c r="DD91" s="117">
        <v>122591</v>
      </c>
      <c r="DE91" s="117">
        <v>344421</v>
      </c>
      <c r="DF91" s="117">
        <v>-3</v>
      </c>
      <c r="DG91" s="117">
        <v>-221833</v>
      </c>
      <c r="DH91" s="117">
        <v>202035</v>
      </c>
      <c r="DI91" s="117">
        <v>50657</v>
      </c>
      <c r="DJ91" s="136"/>
      <c r="DL91" s="160">
        <v>-1784</v>
      </c>
      <c r="DM91" s="160">
        <v>56</v>
      </c>
      <c r="DN91" s="161">
        <v>29131</v>
      </c>
      <c r="DO91" s="116">
        <v>24791</v>
      </c>
      <c r="DP91" s="160">
        <v>400</v>
      </c>
      <c r="DR91" s="161">
        <v>4740</v>
      </c>
      <c r="DS91" s="117">
        <v>53</v>
      </c>
      <c r="DT91" s="117">
        <v>20</v>
      </c>
      <c r="DU91" s="117">
        <v>18</v>
      </c>
      <c r="DV91" s="117">
        <v>38</v>
      </c>
      <c r="DW91" s="160">
        <v>4833</v>
      </c>
      <c r="DX91" s="160">
        <v>5237</v>
      </c>
      <c r="DY91" s="116">
        <v>27435</v>
      </c>
      <c r="DZ91" s="150"/>
      <c r="EA91" s="117">
        <v>-3599</v>
      </c>
      <c r="EB91" s="116">
        <v>-23105</v>
      </c>
      <c r="EC91" s="159">
        <v>-39749</v>
      </c>
      <c r="EE91" s="125"/>
      <c r="EF91" s="161"/>
      <c r="EG91" s="124"/>
      <c r="EH91" s="253">
        <v>19.75</v>
      </c>
      <c r="EI91" s="130"/>
      <c r="EJ91" s="125">
        <v>250</v>
      </c>
      <c r="EK91" s="116"/>
      <c r="EL91" s="159"/>
      <c r="EN91" s="116"/>
      <c r="EO91" s="116"/>
      <c r="EP91" s="159"/>
      <c r="EQ91" s="159">
        <v>-35037</v>
      </c>
      <c r="ER91" s="116">
        <v>66</v>
      </c>
      <c r="ES91" s="116">
        <v>4845</v>
      </c>
      <c r="ET91" s="160">
        <v>-65399</v>
      </c>
      <c r="EU91" s="116">
        <v>13</v>
      </c>
      <c r="EV91" s="116">
        <v>4613</v>
      </c>
      <c r="EW91" s="160">
        <v>-73534</v>
      </c>
      <c r="EX91" s="160">
        <v>2688</v>
      </c>
      <c r="EY91" s="160">
        <v>3662</v>
      </c>
      <c r="EZ91" s="116">
        <v>35881</v>
      </c>
      <c r="FA91" s="116">
        <v>-8575</v>
      </c>
      <c r="FB91" s="116">
        <v>72022</v>
      </c>
      <c r="FC91" s="160">
        <v>3928</v>
      </c>
      <c r="FD91" s="116">
        <v>84373</v>
      </c>
      <c r="FE91" s="116">
        <v>-7716</v>
      </c>
      <c r="FF91" s="3">
        <v>174841</v>
      </c>
      <c r="FG91" s="3">
        <v>118909</v>
      </c>
      <c r="FH91" s="3">
        <v>55932</v>
      </c>
      <c r="FI91" s="3">
        <v>882</v>
      </c>
      <c r="FJ91" s="125">
        <v>233982</v>
      </c>
      <c r="FK91" s="160">
        <v>167207</v>
      </c>
      <c r="FL91" s="125">
        <v>66775</v>
      </c>
      <c r="FM91" s="116">
        <v>882</v>
      </c>
      <c r="FN91" s="125">
        <v>287534</v>
      </c>
      <c r="FO91" s="116">
        <v>222958</v>
      </c>
      <c r="FP91" s="116">
        <v>64576</v>
      </c>
      <c r="FQ91" s="116">
        <v>-3599</v>
      </c>
      <c r="FR91" s="153">
        <v>5845</v>
      </c>
      <c r="FS91" s="153">
        <v>30592</v>
      </c>
      <c r="FT91" s="276">
        <v>34101</v>
      </c>
      <c r="FU91" s="3">
        <v>55375</v>
      </c>
      <c r="FV91" s="159">
        <v>60278</v>
      </c>
      <c r="FW91" s="170"/>
      <c r="FZ91" s="155"/>
      <c r="GA91" s="2"/>
      <c r="GD91" s="163"/>
      <c r="GE91" s="2"/>
      <c r="GF91" s="2"/>
    </row>
    <row r="92" spans="1:188" ht="14.5" x14ac:dyDescent="0.35">
      <c r="A92" s="72">
        <v>260</v>
      </c>
      <c r="B92" s="70" t="s">
        <v>89</v>
      </c>
      <c r="C92" s="158">
        <v>10358</v>
      </c>
      <c r="D92" s="171"/>
      <c r="E92" s="128">
        <v>1.2996545768566494</v>
      </c>
      <c r="F92" s="128">
        <v>27.659654282456035</v>
      </c>
      <c r="G92" s="129">
        <v>-1744.6418227457038</v>
      </c>
      <c r="H92" s="216"/>
      <c r="I92" s="172"/>
      <c r="J92" s="218"/>
      <c r="K92" s="128">
        <v>55.897077148416152</v>
      </c>
      <c r="L92" s="129">
        <v>1392.5468237111411</v>
      </c>
      <c r="M92" s="129">
        <v>38.332095583417065</v>
      </c>
      <c r="N92" s="129">
        <v>13259.895732766945</v>
      </c>
      <c r="O92" s="129"/>
      <c r="P92" s="117">
        <v>61656</v>
      </c>
      <c r="Q92" s="161">
        <v>126206</v>
      </c>
      <c r="R92" s="161">
        <v>1</v>
      </c>
      <c r="S92" s="161">
        <v>-64549</v>
      </c>
      <c r="T92" s="124">
        <v>32042</v>
      </c>
      <c r="U92" s="124">
        <v>39590</v>
      </c>
      <c r="V92" s="136"/>
      <c r="X92" s="116">
        <v>-197</v>
      </c>
      <c r="Y92" s="116">
        <v>412</v>
      </c>
      <c r="Z92" s="161">
        <v>7298</v>
      </c>
      <c r="AA92" s="116">
        <v>4819</v>
      </c>
      <c r="AB92" s="116">
        <v>20</v>
      </c>
      <c r="AD92" s="161">
        <v>2499</v>
      </c>
      <c r="AE92" s="117">
        <v>-23</v>
      </c>
      <c r="AF92" s="117">
        <v>1</v>
      </c>
      <c r="AG92" s="116">
        <v>-77</v>
      </c>
      <c r="AH92" s="116">
        <v>-73</v>
      </c>
      <c r="AI92" s="160">
        <v>2327</v>
      </c>
      <c r="AJ92" s="161">
        <v>23324</v>
      </c>
      <c r="AK92" s="161">
        <v>8101</v>
      </c>
      <c r="AL92" s="150"/>
      <c r="AM92" s="161">
        <v>669</v>
      </c>
      <c r="AN92" s="161">
        <v>-5563</v>
      </c>
      <c r="AO92" s="160">
        <v>3176</v>
      </c>
      <c r="AQ92" s="160"/>
      <c r="AR92" s="117"/>
      <c r="AS92" s="117"/>
      <c r="AT92" s="99">
        <v>21.5</v>
      </c>
      <c r="AU92" s="130"/>
      <c r="AV92" s="262">
        <v>74</v>
      </c>
      <c r="AW92" s="267">
        <v>10136</v>
      </c>
      <c r="AX92" s="124"/>
      <c r="AY92" s="255">
        <v>1.4690637403689002</v>
      </c>
      <c r="AZ92" s="259">
        <v>26.588408032509715</v>
      </c>
      <c r="BA92" s="160">
        <v>-1652.8216258879243</v>
      </c>
      <c r="BB92" s="130"/>
      <c r="BC92" s="130"/>
      <c r="BD92" s="130"/>
      <c r="BE92" s="128">
        <v>56.86102297803199</v>
      </c>
      <c r="BF92" s="160">
        <v>1336.7205998421468</v>
      </c>
      <c r="BG92" s="129">
        <v>37.989941046160062</v>
      </c>
      <c r="BH92" s="131">
        <v>13672.355958958169</v>
      </c>
      <c r="BI92" s="124"/>
      <c r="BJ92" s="117">
        <v>63022</v>
      </c>
      <c r="BK92" s="117">
        <v>129044</v>
      </c>
      <c r="BL92" s="161">
        <v>0</v>
      </c>
      <c r="BM92" s="161">
        <v>-66022</v>
      </c>
      <c r="BN92" s="117">
        <v>32118</v>
      </c>
      <c r="BO92" s="117">
        <v>39712</v>
      </c>
      <c r="BP92" s="136"/>
      <c r="BR92" s="160">
        <v>-166</v>
      </c>
      <c r="BS92" s="160">
        <v>443</v>
      </c>
      <c r="BT92" s="161">
        <v>6085</v>
      </c>
      <c r="BU92" s="125">
        <v>5601</v>
      </c>
      <c r="BV92" s="160">
        <v>0</v>
      </c>
      <c r="BX92" s="161">
        <v>484</v>
      </c>
      <c r="BY92" s="161">
        <v>-29</v>
      </c>
      <c r="BZ92" s="161">
        <v>-6</v>
      </c>
      <c r="CA92" s="160">
        <v>54</v>
      </c>
      <c r="CB92" s="160">
        <v>82</v>
      </c>
      <c r="CC92" s="160">
        <v>477</v>
      </c>
      <c r="CD92" s="160">
        <v>23529</v>
      </c>
      <c r="CE92" s="116">
        <v>5999</v>
      </c>
      <c r="CF92" s="150"/>
      <c r="CG92" s="161">
        <v>-1181</v>
      </c>
      <c r="CH92" s="160">
        <v>-4076</v>
      </c>
      <c r="CI92" s="159">
        <v>1513</v>
      </c>
      <c r="CK92" s="124"/>
      <c r="CL92" s="161"/>
      <c r="CM92" s="124"/>
      <c r="CN92" s="265">
        <v>21</v>
      </c>
      <c r="CO92" s="130"/>
      <c r="CP92" s="116">
        <v>89</v>
      </c>
      <c r="CQ92" s="267">
        <v>9933</v>
      </c>
      <c r="CR92" s="124"/>
      <c r="CS92" s="268">
        <v>2.7424242424242422</v>
      </c>
      <c r="CT92" s="269">
        <v>26.603966585213389</v>
      </c>
      <c r="CU92" s="160">
        <v>-1273.7340179200644</v>
      </c>
      <c r="CV92" s="130"/>
      <c r="CW92" s="130"/>
      <c r="CX92" s="130"/>
      <c r="CY92" s="269">
        <v>58.370909090909088</v>
      </c>
      <c r="CZ92" s="125">
        <v>1732.4071277559649</v>
      </c>
      <c r="DA92" s="125">
        <v>44.761402508551882</v>
      </c>
      <c r="DB92" s="273">
        <v>14126.648545253196</v>
      </c>
      <c r="DC92" s="124"/>
      <c r="DD92" s="117">
        <v>63332</v>
      </c>
      <c r="DE92" s="117">
        <v>130955</v>
      </c>
      <c r="DF92" s="117">
        <v>0</v>
      </c>
      <c r="DG92" s="117">
        <v>-67623</v>
      </c>
      <c r="DH92" s="117">
        <v>32556</v>
      </c>
      <c r="DI92" s="117">
        <v>44888</v>
      </c>
      <c r="DJ92" s="136"/>
      <c r="DL92" s="160">
        <v>-147</v>
      </c>
      <c r="DM92" s="160">
        <v>415</v>
      </c>
      <c r="DN92" s="161">
        <v>10089</v>
      </c>
      <c r="DO92" s="116">
        <v>5839</v>
      </c>
      <c r="DP92" s="160">
        <v>0</v>
      </c>
      <c r="DR92" s="161">
        <v>4250</v>
      </c>
      <c r="DS92" s="117">
        <v>-24</v>
      </c>
      <c r="DT92" s="117">
        <v>6</v>
      </c>
      <c r="DU92" s="116">
        <v>57</v>
      </c>
      <c r="DV92" s="116">
        <v>29</v>
      </c>
      <c r="DW92" s="160">
        <v>4204</v>
      </c>
      <c r="DX92" s="160">
        <v>27927</v>
      </c>
      <c r="DY92" s="116">
        <v>9199</v>
      </c>
      <c r="DZ92" s="150"/>
      <c r="EA92" s="117">
        <v>-2039</v>
      </c>
      <c r="EB92" s="116">
        <v>-3534</v>
      </c>
      <c r="EC92" s="159">
        <v>4264</v>
      </c>
      <c r="EE92" s="125"/>
      <c r="EF92" s="161"/>
      <c r="EG92" s="124"/>
      <c r="EH92" s="253">
        <v>21</v>
      </c>
      <c r="EI92" s="130"/>
      <c r="EJ92" s="125">
        <v>126</v>
      </c>
      <c r="EK92" s="116"/>
      <c r="EL92" s="159"/>
      <c r="EN92" s="116"/>
      <c r="EO92" s="116"/>
      <c r="EP92" s="159"/>
      <c r="EQ92" s="159">
        <v>-5143</v>
      </c>
      <c r="ER92" s="116">
        <v>72</v>
      </c>
      <c r="ES92" s="116">
        <v>146</v>
      </c>
      <c r="ET92" s="160">
        <v>-4986</v>
      </c>
      <c r="EU92" s="116">
        <v>321</v>
      </c>
      <c r="EV92" s="116">
        <v>179</v>
      </c>
      <c r="EW92" s="160">
        <v>-5457</v>
      </c>
      <c r="EX92" s="160">
        <v>209</v>
      </c>
      <c r="EY92" s="160">
        <v>313</v>
      </c>
      <c r="EZ92" s="116">
        <v>0</v>
      </c>
      <c r="FA92" s="116">
        <v>-8</v>
      </c>
      <c r="FB92" s="116">
        <v>2135</v>
      </c>
      <c r="FC92" s="160">
        <v>1010</v>
      </c>
      <c r="FD92" s="116">
        <v>4824</v>
      </c>
      <c r="FE92" s="116">
        <v>122</v>
      </c>
      <c r="FF92" s="3">
        <v>20176</v>
      </c>
      <c r="FG92" s="3">
        <v>17519</v>
      </c>
      <c r="FH92" s="3">
        <v>2657</v>
      </c>
      <c r="FI92" s="3">
        <v>530</v>
      </c>
      <c r="FJ92" s="125">
        <v>19544</v>
      </c>
      <c r="FK92" s="160">
        <v>16337</v>
      </c>
      <c r="FL92" s="125">
        <v>3207</v>
      </c>
      <c r="FM92" s="116">
        <v>791</v>
      </c>
      <c r="FN92" s="125">
        <v>20956</v>
      </c>
      <c r="FO92" s="116">
        <v>17250</v>
      </c>
      <c r="FP92" s="116">
        <v>3706</v>
      </c>
      <c r="FQ92" s="116">
        <v>-2039</v>
      </c>
      <c r="FR92" s="153">
        <v>1911</v>
      </c>
      <c r="FS92" s="153">
        <v>1789</v>
      </c>
      <c r="FT92" s="276">
        <v>318</v>
      </c>
      <c r="FU92" s="3">
        <v>3021</v>
      </c>
      <c r="FV92" s="159">
        <v>4469</v>
      </c>
      <c r="FW92" s="170"/>
      <c r="FZ92" s="155"/>
      <c r="GA92" s="2"/>
      <c r="GD92" s="163"/>
      <c r="GE92" s="2"/>
      <c r="GF92" s="2"/>
    </row>
    <row r="93" spans="1:188" ht="14.5" x14ac:dyDescent="0.35">
      <c r="A93" s="72">
        <v>261</v>
      </c>
      <c r="B93" s="70" t="s">
        <v>90</v>
      </c>
      <c r="C93" s="158">
        <v>6436</v>
      </c>
      <c r="D93" s="171"/>
      <c r="E93" s="128">
        <v>1.610940520868873</v>
      </c>
      <c r="F93" s="128">
        <v>67.45337180019105</v>
      </c>
      <c r="G93" s="129">
        <v>-8761.3424487259163</v>
      </c>
      <c r="H93" s="216"/>
      <c r="I93" s="172"/>
      <c r="J93" s="218"/>
      <c r="K93" s="128">
        <v>43.583668561121215</v>
      </c>
      <c r="L93" s="129">
        <v>1219.5463020509633</v>
      </c>
      <c r="M93" s="129">
        <v>26.96159348002033</v>
      </c>
      <c r="N93" s="129">
        <v>16509.94406463642</v>
      </c>
      <c r="O93" s="129"/>
      <c r="P93" s="117">
        <v>51079</v>
      </c>
      <c r="Q93" s="161">
        <v>90616</v>
      </c>
      <c r="R93" s="161">
        <v>1248</v>
      </c>
      <c r="S93" s="161">
        <v>-38289</v>
      </c>
      <c r="T93" s="124">
        <v>28580</v>
      </c>
      <c r="U93" s="124">
        <v>23980</v>
      </c>
      <c r="V93" s="136"/>
      <c r="X93" s="116">
        <v>-667</v>
      </c>
      <c r="Y93" s="116">
        <v>-107</v>
      </c>
      <c r="Z93" s="161">
        <v>13497</v>
      </c>
      <c r="AA93" s="116">
        <v>8502</v>
      </c>
      <c r="AB93" s="117">
        <v>0</v>
      </c>
      <c r="AD93" s="161">
        <v>4995</v>
      </c>
      <c r="AE93" s="116">
        <v>-671</v>
      </c>
      <c r="AF93" s="116">
        <v>662</v>
      </c>
      <c r="AG93" s="116">
        <v>-386</v>
      </c>
      <c r="AH93" s="116">
        <v>-46</v>
      </c>
      <c r="AI93" s="160">
        <v>4554</v>
      </c>
      <c r="AJ93" s="161">
        <v>48182</v>
      </c>
      <c r="AK93" s="161">
        <v>10262</v>
      </c>
      <c r="AL93" s="150"/>
      <c r="AM93" s="161">
        <v>513</v>
      </c>
      <c r="AN93" s="161">
        <v>-8125</v>
      </c>
      <c r="AO93" s="160">
        <v>5993</v>
      </c>
      <c r="AQ93" s="160"/>
      <c r="AR93" s="117"/>
      <c r="AS93" s="117"/>
      <c r="AT93" s="99">
        <v>20.25</v>
      </c>
      <c r="AU93" s="130"/>
      <c r="AV93" s="262">
        <v>1</v>
      </c>
      <c r="AW93" s="267">
        <v>6453</v>
      </c>
      <c r="AX93" s="124"/>
      <c r="AY93" s="255">
        <v>3.5211640211640214</v>
      </c>
      <c r="AZ93" s="259">
        <v>71.824445775913716</v>
      </c>
      <c r="BA93" s="160">
        <v>-9609.1740275840693</v>
      </c>
      <c r="BB93" s="130"/>
      <c r="BC93" s="130"/>
      <c r="BD93" s="130"/>
      <c r="BE93" s="128">
        <v>48.905238722876874</v>
      </c>
      <c r="BF93" s="160">
        <v>1385.8670385867038</v>
      </c>
      <c r="BG93" s="129">
        <v>24.135713022013665</v>
      </c>
      <c r="BH93" s="131">
        <v>18394.390206105687</v>
      </c>
      <c r="BI93" s="124"/>
      <c r="BJ93" s="117">
        <v>50433</v>
      </c>
      <c r="BK93" s="117">
        <v>91942</v>
      </c>
      <c r="BL93" s="161">
        <v>1199</v>
      </c>
      <c r="BM93" s="161">
        <v>-40310</v>
      </c>
      <c r="BN93" s="117">
        <v>30553</v>
      </c>
      <c r="BO93" s="117">
        <v>25830</v>
      </c>
      <c r="BP93" s="136"/>
      <c r="BR93" s="160">
        <v>-758</v>
      </c>
      <c r="BS93" s="160">
        <v>-109</v>
      </c>
      <c r="BT93" s="161">
        <v>15206</v>
      </c>
      <c r="BU93" s="125">
        <v>8606</v>
      </c>
      <c r="BV93" s="161">
        <v>0</v>
      </c>
      <c r="BX93" s="161">
        <v>6600</v>
      </c>
      <c r="BY93" s="160">
        <v>-827</v>
      </c>
      <c r="BZ93" s="161">
        <v>911</v>
      </c>
      <c r="CA93" s="160">
        <v>504</v>
      </c>
      <c r="CB93" s="160">
        <v>-30</v>
      </c>
      <c r="CC93" s="160">
        <v>6150</v>
      </c>
      <c r="CD93" s="160">
        <v>52782</v>
      </c>
      <c r="CE93" s="116">
        <v>13197</v>
      </c>
      <c r="CF93" s="150"/>
      <c r="CG93" s="160">
        <v>433</v>
      </c>
      <c r="CH93" s="160">
        <v>-3770</v>
      </c>
      <c r="CI93" s="159">
        <v>-6416</v>
      </c>
      <c r="CK93" s="124"/>
      <c r="CL93" s="161"/>
      <c r="CM93" s="124"/>
      <c r="CN93" s="265">
        <v>20.25</v>
      </c>
      <c r="CO93" s="130"/>
      <c r="CP93" s="116">
        <v>1</v>
      </c>
      <c r="CQ93" s="267">
        <v>6436</v>
      </c>
      <c r="CR93" s="124"/>
      <c r="CS93" s="268">
        <v>4.653264812575574</v>
      </c>
      <c r="CT93" s="269">
        <v>75.651210396829867</v>
      </c>
      <c r="CU93" s="160">
        <v>-9650.4039776258542</v>
      </c>
      <c r="CV93" s="130"/>
      <c r="CW93" s="130"/>
      <c r="CX93" s="130"/>
      <c r="CY93" s="269">
        <v>49.225643125721305</v>
      </c>
      <c r="CZ93" s="125">
        <v>1939.2479801118707</v>
      </c>
      <c r="DA93" s="125">
        <v>41.063692659930233</v>
      </c>
      <c r="DB93" s="273">
        <v>17237.259167184588</v>
      </c>
      <c r="DC93" s="124"/>
      <c r="DD93" s="117">
        <v>46698</v>
      </c>
      <c r="DE93" s="117">
        <v>91440</v>
      </c>
      <c r="DF93" s="117">
        <v>1022</v>
      </c>
      <c r="DG93" s="117">
        <v>-43720</v>
      </c>
      <c r="DH93" s="117">
        <v>31340</v>
      </c>
      <c r="DI93" s="117">
        <v>28456</v>
      </c>
      <c r="DJ93" s="136"/>
      <c r="DL93" s="160">
        <v>-441</v>
      </c>
      <c r="DM93" s="160">
        <v>-690</v>
      </c>
      <c r="DN93" s="161">
        <v>14945</v>
      </c>
      <c r="DO93" s="116">
        <v>10714</v>
      </c>
      <c r="DP93" s="161">
        <v>0</v>
      </c>
      <c r="DR93" s="161">
        <v>4231</v>
      </c>
      <c r="DS93" s="116">
        <v>-293</v>
      </c>
      <c r="DT93" s="117">
        <v>1431</v>
      </c>
      <c r="DU93" s="116">
        <v>0</v>
      </c>
      <c r="DV93" s="116">
        <v>-180</v>
      </c>
      <c r="DW93" s="160">
        <v>5189</v>
      </c>
      <c r="DX93" s="160">
        <v>57426</v>
      </c>
      <c r="DY93" s="116">
        <v>14131</v>
      </c>
      <c r="DZ93" s="150"/>
      <c r="EA93" s="116">
        <v>-500</v>
      </c>
      <c r="EB93" s="116">
        <v>-2860</v>
      </c>
      <c r="EC93" s="159">
        <v>1064</v>
      </c>
      <c r="EE93" s="125"/>
      <c r="EF93" s="161"/>
      <c r="EG93" s="124"/>
      <c r="EH93" s="253">
        <v>20.25</v>
      </c>
      <c r="EI93" s="130"/>
      <c r="EJ93" s="125">
        <v>2</v>
      </c>
      <c r="EK93" s="116"/>
      <c r="EL93" s="159"/>
      <c r="EN93" s="116"/>
      <c r="EO93" s="116"/>
      <c r="EP93" s="159"/>
      <c r="EQ93" s="159">
        <v>-6021</v>
      </c>
      <c r="ER93" s="116">
        <v>67</v>
      </c>
      <c r="ES93" s="116">
        <v>1685</v>
      </c>
      <c r="ET93" s="160">
        <v>-20862</v>
      </c>
      <c r="EU93" s="116">
        <v>79</v>
      </c>
      <c r="EV93" s="116">
        <v>1170</v>
      </c>
      <c r="EW93" s="160">
        <v>-13816</v>
      </c>
      <c r="EX93" s="160">
        <v>119</v>
      </c>
      <c r="EY93" s="160">
        <v>630</v>
      </c>
      <c r="EZ93" s="116">
        <v>139</v>
      </c>
      <c r="FA93" s="116">
        <v>755</v>
      </c>
      <c r="FB93" s="116">
        <v>9782</v>
      </c>
      <c r="FC93" s="160">
        <v>-262</v>
      </c>
      <c r="FD93" s="116">
        <v>6938</v>
      </c>
      <c r="FE93" s="116">
        <v>-1690</v>
      </c>
      <c r="FF93" s="3">
        <v>43992</v>
      </c>
      <c r="FG93" s="3">
        <v>35506</v>
      </c>
      <c r="FH93" s="3">
        <v>8486</v>
      </c>
      <c r="FI93" s="3">
        <v>367</v>
      </c>
      <c r="FJ93" s="125">
        <v>49841</v>
      </c>
      <c r="FK93" s="160">
        <v>41617</v>
      </c>
      <c r="FL93" s="125">
        <v>8224</v>
      </c>
      <c r="FM93" s="116">
        <v>234</v>
      </c>
      <c r="FN93" s="125">
        <v>52293</v>
      </c>
      <c r="FO93" s="116">
        <v>45756</v>
      </c>
      <c r="FP93" s="116">
        <v>6537</v>
      </c>
      <c r="FQ93" s="116">
        <v>-500</v>
      </c>
      <c r="FR93" s="153">
        <v>3269</v>
      </c>
      <c r="FS93" s="153">
        <v>17104</v>
      </c>
      <c r="FT93" s="276">
        <v>17865</v>
      </c>
      <c r="FU93" s="3">
        <v>2242</v>
      </c>
      <c r="FV93" s="159">
        <v>1963</v>
      </c>
      <c r="FW93" s="170"/>
      <c r="FZ93" s="155"/>
      <c r="GA93" s="2"/>
      <c r="GD93" s="163"/>
      <c r="GE93" s="2"/>
      <c r="GF93" s="2"/>
    </row>
    <row r="94" spans="1:188" ht="14.5" x14ac:dyDescent="0.35">
      <c r="A94" s="72">
        <v>263</v>
      </c>
      <c r="B94" s="70" t="s">
        <v>91</v>
      </c>
      <c r="C94" s="158">
        <v>8153</v>
      </c>
      <c r="D94" s="171"/>
      <c r="E94" s="128">
        <v>0.86483820047355964</v>
      </c>
      <c r="F94" s="128">
        <v>65.961141445908666</v>
      </c>
      <c r="G94" s="129">
        <v>-6414.9392861523365</v>
      </c>
      <c r="H94" s="216"/>
      <c r="I94" s="172"/>
      <c r="J94" s="218"/>
      <c r="K94" s="128">
        <v>33.123345990104703</v>
      </c>
      <c r="L94" s="129">
        <v>1451.2449405126947</v>
      </c>
      <c r="M94" s="129">
        <v>38.548628963153384</v>
      </c>
      <c r="N94" s="129">
        <v>13741.199558444745</v>
      </c>
      <c r="O94" s="129"/>
      <c r="P94" s="117">
        <v>46447</v>
      </c>
      <c r="Q94" s="161">
        <v>100170</v>
      </c>
      <c r="R94" s="161">
        <v>154</v>
      </c>
      <c r="S94" s="161">
        <v>-53569</v>
      </c>
      <c r="T94" s="124">
        <v>22913</v>
      </c>
      <c r="U94" s="124">
        <v>34298</v>
      </c>
      <c r="V94" s="136"/>
      <c r="X94" s="116">
        <v>-531</v>
      </c>
      <c r="Y94" s="116">
        <v>735</v>
      </c>
      <c r="Z94" s="161">
        <v>3846</v>
      </c>
      <c r="AA94" s="116">
        <v>5634</v>
      </c>
      <c r="AB94" s="116">
        <v>140</v>
      </c>
      <c r="AD94" s="161">
        <v>-1648</v>
      </c>
      <c r="AE94" s="117">
        <v>-2</v>
      </c>
      <c r="AF94" s="117">
        <v>9</v>
      </c>
      <c r="AG94" s="116">
        <v>-4</v>
      </c>
      <c r="AH94" s="116">
        <v>-66</v>
      </c>
      <c r="AI94" s="160">
        <v>-1711</v>
      </c>
      <c r="AJ94" s="161">
        <v>887</v>
      </c>
      <c r="AK94" s="161">
        <v>3213</v>
      </c>
      <c r="AL94" s="150"/>
      <c r="AM94" s="161">
        <v>418</v>
      </c>
      <c r="AN94" s="161">
        <v>-4531</v>
      </c>
      <c r="AO94" s="160">
        <v>-1530</v>
      </c>
      <c r="AQ94" s="160"/>
      <c r="AR94" s="117"/>
      <c r="AS94" s="117"/>
      <c r="AT94" s="99">
        <v>20.75</v>
      </c>
      <c r="AU94" s="130"/>
      <c r="AV94" s="262">
        <v>155</v>
      </c>
      <c r="AW94" s="267">
        <v>7998</v>
      </c>
      <c r="AX94" s="124"/>
      <c r="AY94" s="255">
        <v>0.73993288590604023</v>
      </c>
      <c r="AZ94" s="259">
        <v>67.419533745147163</v>
      </c>
      <c r="BA94" s="160">
        <v>-6716.4291072768192</v>
      </c>
      <c r="BB94" s="130"/>
      <c r="BC94" s="130"/>
      <c r="BD94" s="130"/>
      <c r="BE94" s="128">
        <v>31.543412357627169</v>
      </c>
      <c r="BF94" s="160">
        <v>1473.7434358589646</v>
      </c>
      <c r="BG94" s="129">
        <v>38.140438572475738</v>
      </c>
      <c r="BH94" s="131">
        <v>14157.414353588398</v>
      </c>
      <c r="BI94" s="124"/>
      <c r="BJ94" s="117">
        <v>47223</v>
      </c>
      <c r="BK94" s="117">
        <v>101847</v>
      </c>
      <c r="BL94" s="161">
        <v>166</v>
      </c>
      <c r="BM94" s="161">
        <v>-54458</v>
      </c>
      <c r="BN94" s="117">
        <v>23413</v>
      </c>
      <c r="BO94" s="117">
        <v>33942</v>
      </c>
      <c r="BP94" s="136"/>
      <c r="BR94" s="160">
        <v>-489</v>
      </c>
      <c r="BS94" s="160">
        <v>1058</v>
      </c>
      <c r="BT94" s="161">
        <v>3466</v>
      </c>
      <c r="BU94" s="125">
        <v>5705</v>
      </c>
      <c r="BV94" s="160">
        <v>419</v>
      </c>
      <c r="BX94" s="161">
        <v>-1820</v>
      </c>
      <c r="BY94" s="161">
        <v>-23</v>
      </c>
      <c r="BZ94" s="160">
        <v>6</v>
      </c>
      <c r="CA94" s="160">
        <v>9</v>
      </c>
      <c r="CB94" s="160">
        <v>-67</v>
      </c>
      <c r="CC94" s="160">
        <v>-1913</v>
      </c>
      <c r="CD94" s="160">
        <v>-812</v>
      </c>
      <c r="CE94" s="116">
        <v>3584</v>
      </c>
      <c r="CF94" s="150"/>
      <c r="CG94" s="161">
        <v>-756</v>
      </c>
      <c r="CH94" s="160">
        <v>-4861</v>
      </c>
      <c r="CI94" s="159">
        <v>-1509</v>
      </c>
      <c r="CK94" s="124"/>
      <c r="CL94" s="161"/>
      <c r="CM94" s="124"/>
      <c r="CN94" s="265">
        <v>20.75</v>
      </c>
      <c r="CO94" s="130"/>
      <c r="CP94" s="116">
        <v>150</v>
      </c>
      <c r="CQ94" s="267">
        <v>7854</v>
      </c>
      <c r="CR94" s="124"/>
      <c r="CS94" s="268">
        <v>2.3433407213379005</v>
      </c>
      <c r="CT94" s="269">
        <v>61.188409667512353</v>
      </c>
      <c r="CU94" s="160">
        <v>-6362.4904507257452</v>
      </c>
      <c r="CV94" s="130"/>
      <c r="CW94" s="130"/>
      <c r="CX94" s="130"/>
      <c r="CY94" s="269">
        <v>34.760484622553591</v>
      </c>
      <c r="CZ94" s="125">
        <v>1820.0916730328495</v>
      </c>
      <c r="DA94" s="125">
        <v>45.425202197400381</v>
      </c>
      <c r="DB94" s="273">
        <v>14624.777183600712</v>
      </c>
      <c r="DC94" s="124"/>
      <c r="DD94" s="117">
        <v>48661</v>
      </c>
      <c r="DE94" s="117">
        <v>101594</v>
      </c>
      <c r="DF94" s="117">
        <v>69</v>
      </c>
      <c r="DG94" s="117">
        <v>-52864</v>
      </c>
      <c r="DH94" s="117">
        <v>24411</v>
      </c>
      <c r="DI94" s="117">
        <v>39263</v>
      </c>
      <c r="DJ94" s="136"/>
      <c r="DL94" s="160">
        <v>-443</v>
      </c>
      <c r="DM94" s="160">
        <v>807</v>
      </c>
      <c r="DN94" s="161">
        <v>11174</v>
      </c>
      <c r="DO94" s="116">
        <v>6736</v>
      </c>
      <c r="DP94" s="160">
        <v>-10</v>
      </c>
      <c r="DR94" s="161">
        <v>4428</v>
      </c>
      <c r="DS94" s="117">
        <v>-7</v>
      </c>
      <c r="DT94" s="116">
        <v>3</v>
      </c>
      <c r="DU94" s="116">
        <v>7</v>
      </c>
      <c r="DV94" s="116">
        <v>-71</v>
      </c>
      <c r="DW94" s="160">
        <v>4346</v>
      </c>
      <c r="DX94" s="160">
        <v>3524</v>
      </c>
      <c r="DY94" s="116">
        <v>10418</v>
      </c>
      <c r="DZ94" s="150"/>
      <c r="EA94" s="117">
        <v>530</v>
      </c>
      <c r="EB94" s="116">
        <v>-4507</v>
      </c>
      <c r="EC94" s="159">
        <v>3927</v>
      </c>
      <c r="EE94" s="125"/>
      <c r="EF94" s="161"/>
      <c r="EG94" s="124"/>
      <c r="EH94" s="253">
        <v>21.75</v>
      </c>
      <c r="EI94" s="130"/>
      <c r="EJ94" s="125">
        <v>29</v>
      </c>
      <c r="EK94" s="116"/>
      <c r="EL94" s="159"/>
      <c r="EN94" s="116"/>
      <c r="EO94" s="116"/>
      <c r="EP94" s="159"/>
      <c r="EQ94" s="159">
        <v>-6402</v>
      </c>
      <c r="ER94" s="116">
        <v>463</v>
      </c>
      <c r="ES94" s="116">
        <v>1196</v>
      </c>
      <c r="ET94" s="160">
        <v>-5780</v>
      </c>
      <c r="EU94" s="116">
        <v>478</v>
      </c>
      <c r="EV94" s="116">
        <v>209</v>
      </c>
      <c r="EW94" s="160">
        <v>-8044</v>
      </c>
      <c r="EX94" s="160">
        <v>442</v>
      </c>
      <c r="EY94" s="160">
        <v>1111</v>
      </c>
      <c r="EZ94" s="116">
        <v>3251</v>
      </c>
      <c r="FA94" s="116">
        <v>1426</v>
      </c>
      <c r="FB94" s="116">
        <v>6132</v>
      </c>
      <c r="FC94" s="160">
        <v>14</v>
      </c>
      <c r="FD94" s="116">
        <v>2357</v>
      </c>
      <c r="FE94" s="116">
        <v>996</v>
      </c>
      <c r="FF94" s="3">
        <v>56328</v>
      </c>
      <c r="FG94" s="3">
        <v>36398</v>
      </c>
      <c r="FH94" s="3">
        <v>19930</v>
      </c>
      <c r="FI94" s="3">
        <v>92</v>
      </c>
      <c r="FJ94" s="125">
        <v>57614</v>
      </c>
      <c r="FK94" s="160">
        <v>38046</v>
      </c>
      <c r="FL94" s="125">
        <v>19568</v>
      </c>
      <c r="FM94" s="116">
        <v>57</v>
      </c>
      <c r="FN94" s="125">
        <v>55735</v>
      </c>
      <c r="FO94" s="116">
        <v>36075</v>
      </c>
      <c r="FP94" s="116">
        <v>19660</v>
      </c>
      <c r="FQ94" s="116">
        <v>530</v>
      </c>
      <c r="FR94" s="153">
        <v>22</v>
      </c>
      <c r="FS94" s="153">
        <v>22</v>
      </c>
      <c r="FT94" s="276">
        <v>10</v>
      </c>
      <c r="FU94" s="3">
        <v>7233</v>
      </c>
      <c r="FV94" s="159">
        <v>6809</v>
      </c>
      <c r="FW94" s="170"/>
      <c r="FZ94" s="155"/>
      <c r="GA94" s="2"/>
      <c r="GD94" s="163"/>
      <c r="GE94" s="2"/>
      <c r="GF94" s="2"/>
    </row>
    <row r="95" spans="1:188" ht="14.5" x14ac:dyDescent="0.35">
      <c r="A95" s="72">
        <v>265</v>
      </c>
      <c r="B95" s="70" t="s">
        <v>92</v>
      </c>
      <c r="C95" s="158">
        <v>1103</v>
      </c>
      <c r="D95" s="171"/>
      <c r="E95" s="128">
        <v>1.7661290322580645</v>
      </c>
      <c r="F95" s="128">
        <v>57.338920900995284</v>
      </c>
      <c r="G95" s="129">
        <v>-6138.7126019945599</v>
      </c>
      <c r="H95" s="216"/>
      <c r="I95" s="172"/>
      <c r="J95" s="218"/>
      <c r="K95" s="128">
        <v>35.366817155756209</v>
      </c>
      <c r="L95" s="129">
        <v>2259.2928377153216</v>
      </c>
      <c r="M95" s="129">
        <v>43.668923136012296</v>
      </c>
      <c r="N95" s="129">
        <v>18883.952855847689</v>
      </c>
      <c r="O95" s="129"/>
      <c r="P95" s="117">
        <v>10488</v>
      </c>
      <c r="Q95" s="161">
        <v>18683</v>
      </c>
      <c r="R95" s="161">
        <v>0</v>
      </c>
      <c r="S95" s="161">
        <v>-8195</v>
      </c>
      <c r="T95" s="124">
        <v>3489</v>
      </c>
      <c r="U95" s="124">
        <v>5113</v>
      </c>
      <c r="V95" s="136"/>
      <c r="X95" s="116">
        <v>-40</v>
      </c>
      <c r="Y95" s="116">
        <v>-195</v>
      </c>
      <c r="Z95" s="161">
        <v>172</v>
      </c>
      <c r="AA95" s="116">
        <v>1106</v>
      </c>
      <c r="AB95" s="117">
        <v>0</v>
      </c>
      <c r="AD95" s="161">
        <v>-934</v>
      </c>
      <c r="AE95" s="116">
        <v>0</v>
      </c>
      <c r="AF95" s="116">
        <v>0</v>
      </c>
      <c r="AG95" s="116">
        <v>0</v>
      </c>
      <c r="AH95" s="116">
        <v>-1</v>
      </c>
      <c r="AI95" s="160">
        <v>-935</v>
      </c>
      <c r="AJ95" s="161">
        <v>1610</v>
      </c>
      <c r="AK95" s="161">
        <v>183</v>
      </c>
      <c r="AL95" s="150"/>
      <c r="AM95" s="161">
        <v>179</v>
      </c>
      <c r="AN95" s="161">
        <v>-77</v>
      </c>
      <c r="AO95" s="160">
        <v>-1581</v>
      </c>
      <c r="AQ95" s="160"/>
      <c r="AR95" s="117"/>
      <c r="AS95" s="117"/>
      <c r="AT95" s="99">
        <v>21.5</v>
      </c>
      <c r="AU95" s="130"/>
      <c r="AV95" s="262">
        <v>259</v>
      </c>
      <c r="AW95" s="267">
        <v>1096</v>
      </c>
      <c r="AX95" s="124"/>
      <c r="AY95" s="255">
        <v>-16.561224489795919</v>
      </c>
      <c r="AZ95" s="259">
        <v>59.273833884254159</v>
      </c>
      <c r="BA95" s="160">
        <v>-7398.7226277372256</v>
      </c>
      <c r="BB95" s="130"/>
      <c r="BC95" s="130"/>
      <c r="BD95" s="130"/>
      <c r="BE95" s="128">
        <v>22.736008386232601</v>
      </c>
      <c r="BF95" s="160">
        <v>1885.948905109489</v>
      </c>
      <c r="BG95" s="129">
        <v>40.541094669281513</v>
      </c>
      <c r="BH95" s="131">
        <v>20470.802919708029</v>
      </c>
      <c r="BI95" s="124"/>
      <c r="BJ95" s="117">
        <v>10550</v>
      </c>
      <c r="BK95" s="117">
        <v>18983</v>
      </c>
      <c r="BL95" s="161">
        <v>0</v>
      </c>
      <c r="BM95" s="161">
        <v>-8433</v>
      </c>
      <c r="BN95" s="117">
        <v>3571</v>
      </c>
      <c r="BO95" s="117">
        <v>4938</v>
      </c>
      <c r="BP95" s="136"/>
      <c r="BR95" s="160">
        <v>-33</v>
      </c>
      <c r="BS95" s="160">
        <v>-1705</v>
      </c>
      <c r="BT95" s="161">
        <v>-1662</v>
      </c>
      <c r="BU95" s="125">
        <v>924</v>
      </c>
      <c r="BV95" s="161">
        <v>0</v>
      </c>
      <c r="BX95" s="161">
        <v>-2586</v>
      </c>
      <c r="BY95" s="160">
        <v>0</v>
      </c>
      <c r="BZ95" s="160">
        <v>0</v>
      </c>
      <c r="CA95" s="160">
        <v>0</v>
      </c>
      <c r="CB95" s="160">
        <v>-2</v>
      </c>
      <c r="CC95" s="160">
        <v>-2588</v>
      </c>
      <c r="CD95" s="160">
        <v>-1007</v>
      </c>
      <c r="CE95" s="116">
        <v>185</v>
      </c>
      <c r="CF95" s="150"/>
      <c r="CG95" s="161">
        <v>561</v>
      </c>
      <c r="CH95" s="160">
        <v>-59</v>
      </c>
      <c r="CI95" s="159">
        <v>-1328</v>
      </c>
      <c r="CK95" s="124"/>
      <c r="CL95" s="161"/>
      <c r="CM95" s="124"/>
      <c r="CN95" s="265">
        <v>21.5</v>
      </c>
      <c r="CO95" s="130"/>
      <c r="CP95" s="116">
        <v>295</v>
      </c>
      <c r="CQ95" s="267">
        <v>1107</v>
      </c>
      <c r="CR95" s="124"/>
      <c r="CS95" s="268">
        <v>16.223404255319149</v>
      </c>
      <c r="CT95" s="269">
        <v>67.921505806968355</v>
      </c>
      <c r="CU95" s="160">
        <v>-8727.1906052393861</v>
      </c>
      <c r="CV95" s="130"/>
      <c r="CW95" s="130"/>
      <c r="CX95" s="130"/>
      <c r="CY95" s="269">
        <v>24.172330629247973</v>
      </c>
      <c r="CZ95" s="125">
        <v>2570.0090334236675</v>
      </c>
      <c r="DA95" s="125">
        <v>51.555208023036442</v>
      </c>
      <c r="DB95" s="273">
        <v>18195.121951219513</v>
      </c>
      <c r="DC95" s="124"/>
      <c r="DD95" s="117">
        <v>10608</v>
      </c>
      <c r="DE95" s="117">
        <v>18452</v>
      </c>
      <c r="DF95" s="117">
        <v>0</v>
      </c>
      <c r="DG95" s="117">
        <v>-7844</v>
      </c>
      <c r="DH95" s="117">
        <v>3894</v>
      </c>
      <c r="DI95" s="117">
        <v>5474</v>
      </c>
      <c r="DJ95" s="136"/>
      <c r="DL95" s="160">
        <v>-40</v>
      </c>
      <c r="DM95" s="160">
        <v>-3</v>
      </c>
      <c r="DN95" s="161">
        <v>1481</v>
      </c>
      <c r="DO95" s="116">
        <v>1004</v>
      </c>
      <c r="DP95" s="161">
        <v>0</v>
      </c>
      <c r="DR95" s="161">
        <v>477</v>
      </c>
      <c r="DS95" s="116">
        <v>0</v>
      </c>
      <c r="DT95" s="116">
        <v>0</v>
      </c>
      <c r="DU95" s="116">
        <v>0</v>
      </c>
      <c r="DV95" s="116">
        <v>-3</v>
      </c>
      <c r="DW95" s="160">
        <v>474</v>
      </c>
      <c r="DX95" s="160">
        <v>-494</v>
      </c>
      <c r="DY95" s="116">
        <v>-274</v>
      </c>
      <c r="DZ95" s="150"/>
      <c r="EA95" s="117">
        <v>60</v>
      </c>
      <c r="EB95" s="116">
        <v>-50</v>
      </c>
      <c r="EC95" s="159">
        <v>-1439</v>
      </c>
      <c r="EE95" s="125"/>
      <c r="EF95" s="161"/>
      <c r="EG95" s="124"/>
      <c r="EH95" s="253">
        <v>21.75</v>
      </c>
      <c r="EI95" s="130"/>
      <c r="EJ95" s="125">
        <v>44</v>
      </c>
      <c r="EK95" s="116"/>
      <c r="EL95" s="159"/>
      <c r="EN95" s="116"/>
      <c r="EO95" s="116"/>
      <c r="EP95" s="159"/>
      <c r="EQ95" s="159">
        <v>-1814</v>
      </c>
      <c r="ER95" s="116">
        <v>50</v>
      </c>
      <c r="ES95" s="116">
        <v>0</v>
      </c>
      <c r="ET95" s="160">
        <v>-1642</v>
      </c>
      <c r="EU95" s="116">
        <v>102</v>
      </c>
      <c r="EV95" s="116">
        <v>27</v>
      </c>
      <c r="EW95" s="160">
        <v>-1545</v>
      </c>
      <c r="EX95" s="160">
        <v>273</v>
      </c>
      <c r="EY95" s="160">
        <v>107</v>
      </c>
      <c r="EZ95" s="116">
        <v>600</v>
      </c>
      <c r="FA95" s="116">
        <v>302</v>
      </c>
      <c r="FB95" s="116">
        <v>1106</v>
      </c>
      <c r="FC95" s="160">
        <v>-309</v>
      </c>
      <c r="FD95" s="116">
        <v>1391</v>
      </c>
      <c r="FE95" s="116">
        <v>728</v>
      </c>
      <c r="FF95" s="3">
        <v>8596</v>
      </c>
      <c r="FG95" s="3">
        <v>7868</v>
      </c>
      <c r="FH95" s="3">
        <v>728</v>
      </c>
      <c r="FI95" s="3">
        <v>48</v>
      </c>
      <c r="FJ95" s="125">
        <v>9332</v>
      </c>
      <c r="FK95" s="160">
        <v>8915</v>
      </c>
      <c r="FL95" s="125">
        <v>417</v>
      </c>
      <c r="FM95" s="116">
        <v>49</v>
      </c>
      <c r="FN95" s="125">
        <v>11401</v>
      </c>
      <c r="FO95" s="116">
        <v>10255</v>
      </c>
      <c r="FP95" s="116">
        <v>1146</v>
      </c>
      <c r="FQ95" s="116">
        <v>60</v>
      </c>
      <c r="FR95" s="153">
        <v>2837</v>
      </c>
      <c r="FS95" s="153">
        <v>2793</v>
      </c>
      <c r="FT95" s="276">
        <v>1045</v>
      </c>
      <c r="FU95" s="3">
        <v>747</v>
      </c>
      <c r="FV95" s="159">
        <v>734</v>
      </c>
      <c r="FW95" s="170"/>
      <c r="FZ95" s="155"/>
      <c r="GA95" s="2"/>
      <c r="GD95" s="163"/>
      <c r="GE95" s="2"/>
      <c r="GF95" s="2"/>
    </row>
    <row r="96" spans="1:188" ht="14.5" x14ac:dyDescent="0.35">
      <c r="A96" s="72">
        <v>271</v>
      </c>
      <c r="B96" s="70" t="s">
        <v>93</v>
      </c>
      <c r="C96" s="158">
        <v>7226</v>
      </c>
      <c r="D96" s="171"/>
      <c r="E96" s="128">
        <v>1.2067620286085825</v>
      </c>
      <c r="F96" s="128">
        <v>62.341468408861132</v>
      </c>
      <c r="G96" s="129">
        <v>-5404.7882646000553</v>
      </c>
      <c r="H96" s="216"/>
      <c r="I96" s="172"/>
      <c r="J96" s="218"/>
      <c r="K96" s="128">
        <v>22.725103526840005</v>
      </c>
      <c r="L96" s="129">
        <v>557.70827567118738</v>
      </c>
      <c r="M96" s="129">
        <v>18.040497448979593</v>
      </c>
      <c r="N96" s="129">
        <v>11283.697758095766</v>
      </c>
      <c r="O96" s="129"/>
      <c r="P96" s="117">
        <v>32223</v>
      </c>
      <c r="Q96" s="161">
        <v>74380</v>
      </c>
      <c r="R96" s="161">
        <v>-14</v>
      </c>
      <c r="S96" s="161">
        <v>-42171</v>
      </c>
      <c r="T96" s="124">
        <v>25747</v>
      </c>
      <c r="U96" s="124">
        <v>20169</v>
      </c>
      <c r="V96" s="136"/>
      <c r="X96" s="116">
        <v>-202</v>
      </c>
      <c r="Y96" s="116">
        <v>-50</v>
      </c>
      <c r="Z96" s="161">
        <v>3493</v>
      </c>
      <c r="AA96" s="116">
        <v>3618</v>
      </c>
      <c r="AB96" s="116">
        <v>-455</v>
      </c>
      <c r="AD96" s="161">
        <v>-580</v>
      </c>
      <c r="AE96" s="116">
        <v>3</v>
      </c>
      <c r="AF96" s="116">
        <v>0</v>
      </c>
      <c r="AG96" s="116">
        <v>-66</v>
      </c>
      <c r="AH96" s="116">
        <v>0</v>
      </c>
      <c r="AI96" s="160">
        <v>-643</v>
      </c>
      <c r="AJ96" s="161">
        <v>452</v>
      </c>
      <c r="AK96" s="161">
        <v>3206</v>
      </c>
      <c r="AL96" s="150"/>
      <c r="AM96" s="161">
        <v>609</v>
      </c>
      <c r="AN96" s="161">
        <v>-2857</v>
      </c>
      <c r="AO96" s="160">
        <v>-404</v>
      </c>
      <c r="AQ96" s="160"/>
      <c r="AR96" s="117"/>
      <c r="AS96" s="117"/>
      <c r="AT96" s="99">
        <v>21.75</v>
      </c>
      <c r="AU96" s="130"/>
      <c r="AV96" s="262">
        <v>151</v>
      </c>
      <c r="AW96" s="267">
        <v>7103</v>
      </c>
      <c r="AX96" s="124"/>
      <c r="AY96" s="255">
        <v>0.80378115153251217</v>
      </c>
      <c r="AZ96" s="259">
        <v>60.763962525417597</v>
      </c>
      <c r="BA96" s="160">
        <v>-5691.8203575953821</v>
      </c>
      <c r="BB96" s="130"/>
      <c r="BC96" s="130"/>
      <c r="BD96" s="130"/>
      <c r="BE96" s="128">
        <v>22.518403719488571</v>
      </c>
      <c r="BF96" s="160">
        <v>377.72772068140222</v>
      </c>
      <c r="BG96" s="129">
        <v>17.419390888023621</v>
      </c>
      <c r="BH96" s="131">
        <v>11968.041672532732</v>
      </c>
      <c r="BI96" s="124"/>
      <c r="BJ96" s="117">
        <v>33369</v>
      </c>
      <c r="BK96" s="117">
        <v>77264</v>
      </c>
      <c r="BL96" s="161">
        <v>-7</v>
      </c>
      <c r="BM96" s="161">
        <v>-43902</v>
      </c>
      <c r="BN96" s="117">
        <v>25814</v>
      </c>
      <c r="BO96" s="117">
        <v>20978</v>
      </c>
      <c r="BP96" s="136"/>
      <c r="BR96" s="160">
        <v>-172</v>
      </c>
      <c r="BS96" s="160">
        <v>-96</v>
      </c>
      <c r="BT96" s="161">
        <v>2622</v>
      </c>
      <c r="BU96" s="125">
        <v>3785</v>
      </c>
      <c r="BV96" s="160">
        <v>93</v>
      </c>
      <c r="BW96" s="117"/>
      <c r="BX96" s="161">
        <v>-1070</v>
      </c>
      <c r="BY96" s="160">
        <v>0</v>
      </c>
      <c r="BZ96" s="160">
        <v>5</v>
      </c>
      <c r="CA96" s="160">
        <v>82</v>
      </c>
      <c r="CB96" s="160">
        <v>0</v>
      </c>
      <c r="CC96" s="160">
        <v>-1147</v>
      </c>
      <c r="CD96" s="160">
        <v>212</v>
      </c>
      <c r="CE96" s="116">
        <v>2540</v>
      </c>
      <c r="CF96" s="150"/>
      <c r="CG96" s="161">
        <v>687</v>
      </c>
      <c r="CH96" s="160">
        <v>-3307</v>
      </c>
      <c r="CI96" s="159">
        <v>-1427</v>
      </c>
      <c r="CK96" s="124"/>
      <c r="CL96" s="161"/>
      <c r="CM96" s="124"/>
      <c r="CN96" s="265">
        <v>21.75</v>
      </c>
      <c r="CO96" s="130"/>
      <c r="CP96" s="116">
        <v>174</v>
      </c>
      <c r="CQ96" s="267">
        <v>7013</v>
      </c>
      <c r="CR96" s="124"/>
      <c r="CS96" s="268">
        <v>1.2051170858629661</v>
      </c>
      <c r="CT96" s="269">
        <v>60.235172745284238</v>
      </c>
      <c r="CU96" s="160">
        <v>-5702.9801796663332</v>
      </c>
      <c r="CV96" s="130"/>
      <c r="CW96" s="130"/>
      <c r="CX96" s="130"/>
      <c r="CY96" s="269">
        <v>26.038527614273242</v>
      </c>
      <c r="CZ96" s="125">
        <v>771.13931270497653</v>
      </c>
      <c r="DA96" s="125">
        <v>21.851109758122544</v>
      </c>
      <c r="DB96" s="273">
        <v>12881.077998003708</v>
      </c>
      <c r="DC96" s="124"/>
      <c r="DD96" s="117">
        <v>37431</v>
      </c>
      <c r="DE96" s="117">
        <v>76992</v>
      </c>
      <c r="DF96" s="117">
        <v>-4</v>
      </c>
      <c r="DG96" s="117">
        <v>-39565</v>
      </c>
      <c r="DH96" s="117">
        <v>26541</v>
      </c>
      <c r="DI96" s="117">
        <v>21327</v>
      </c>
      <c r="DJ96" s="136"/>
      <c r="DL96" s="160">
        <v>-166</v>
      </c>
      <c r="DM96" s="160">
        <v>26</v>
      </c>
      <c r="DN96" s="161">
        <v>8163</v>
      </c>
      <c r="DO96" s="116">
        <v>4446</v>
      </c>
      <c r="DP96" s="160">
        <v>73</v>
      </c>
      <c r="DQ96" s="117"/>
      <c r="DR96" s="161">
        <v>3790</v>
      </c>
      <c r="DS96" s="116">
        <v>1</v>
      </c>
      <c r="DT96" s="116">
        <v>5</v>
      </c>
      <c r="DU96" s="116">
        <v>34</v>
      </c>
      <c r="DV96" s="116">
        <v>0</v>
      </c>
      <c r="DW96" s="160">
        <v>3762</v>
      </c>
      <c r="DX96" s="160">
        <v>4192</v>
      </c>
      <c r="DY96" s="116">
        <v>8142</v>
      </c>
      <c r="DZ96" s="150"/>
      <c r="EA96" s="117">
        <v>-1059</v>
      </c>
      <c r="EB96" s="116">
        <v>-6744</v>
      </c>
      <c r="EC96" s="159">
        <v>2275</v>
      </c>
      <c r="EE96" s="125"/>
      <c r="EF96" s="161"/>
      <c r="EG96" s="124"/>
      <c r="EH96" s="253">
        <v>21.75</v>
      </c>
      <c r="EI96" s="130"/>
      <c r="EJ96" s="125">
        <v>87</v>
      </c>
      <c r="EK96" s="116"/>
      <c r="EL96" s="159"/>
      <c r="EN96" s="116"/>
      <c r="EO96" s="116"/>
      <c r="EP96" s="159"/>
      <c r="EQ96" s="159">
        <v>-3963</v>
      </c>
      <c r="ER96" s="116">
        <v>202</v>
      </c>
      <c r="ES96" s="116">
        <v>151</v>
      </c>
      <c r="ET96" s="160">
        <v>-4103</v>
      </c>
      <c r="EU96" s="116">
        <v>41</v>
      </c>
      <c r="EV96" s="116">
        <v>95</v>
      </c>
      <c r="EW96" s="160">
        <v>-6297</v>
      </c>
      <c r="EX96" s="160">
        <v>37</v>
      </c>
      <c r="EY96" s="160">
        <v>393</v>
      </c>
      <c r="EZ96" s="116">
        <v>768</v>
      </c>
      <c r="FA96" s="116">
        <v>935</v>
      </c>
      <c r="FB96" s="116">
        <v>3645</v>
      </c>
      <c r="FC96" s="160">
        <v>-467</v>
      </c>
      <c r="FD96" s="116">
        <v>11058</v>
      </c>
      <c r="FE96" s="116">
        <v>-4082</v>
      </c>
      <c r="FF96" s="3">
        <v>34262</v>
      </c>
      <c r="FG96" s="3">
        <v>15742</v>
      </c>
      <c r="FH96" s="3">
        <v>18520</v>
      </c>
      <c r="FI96" s="3">
        <v>0</v>
      </c>
      <c r="FJ96" s="125">
        <v>34360</v>
      </c>
      <c r="FK96" s="160">
        <v>15947</v>
      </c>
      <c r="FL96" s="125">
        <v>18413</v>
      </c>
      <c r="FM96" s="116">
        <v>0</v>
      </c>
      <c r="FN96" s="125">
        <v>35748</v>
      </c>
      <c r="FO96" s="116">
        <v>21138</v>
      </c>
      <c r="FP96" s="116">
        <v>14610</v>
      </c>
      <c r="FQ96" s="116">
        <v>-1059</v>
      </c>
      <c r="FR96" s="153">
        <v>375</v>
      </c>
      <c r="FS96" s="153">
        <v>250</v>
      </c>
      <c r="FT96" s="276">
        <v>125</v>
      </c>
      <c r="FU96" s="3">
        <v>1275</v>
      </c>
      <c r="FV96" s="159">
        <v>1373</v>
      </c>
      <c r="FW96" s="170"/>
      <c r="FZ96" s="155"/>
      <c r="GA96" s="2"/>
      <c r="GD96" s="163"/>
      <c r="GE96" s="2"/>
      <c r="GF96" s="2"/>
    </row>
    <row r="97" spans="1:188" ht="14.5" x14ac:dyDescent="0.35">
      <c r="A97" s="72">
        <v>272</v>
      </c>
      <c r="B97" s="70" t="s">
        <v>94</v>
      </c>
      <c r="C97" s="158">
        <v>47657</v>
      </c>
      <c r="D97" s="171"/>
      <c r="E97" s="128">
        <v>0.53515596672433619</v>
      </c>
      <c r="F97" s="128">
        <v>85.193237231761245</v>
      </c>
      <c r="G97" s="129">
        <v>-8381.0772814067204</v>
      </c>
      <c r="H97" s="216"/>
      <c r="I97" s="172"/>
      <c r="J97" s="218"/>
      <c r="K97" s="128">
        <v>32.46068391555086</v>
      </c>
      <c r="L97" s="129">
        <v>1498.7514950584384</v>
      </c>
      <c r="M97" s="129">
        <v>36.774731847137353</v>
      </c>
      <c r="N97" s="129">
        <v>14875.54818809409</v>
      </c>
      <c r="O97" s="129"/>
      <c r="P97" s="117">
        <v>332872</v>
      </c>
      <c r="Q97" s="161">
        <v>555741</v>
      </c>
      <c r="R97" s="161">
        <v>-20</v>
      </c>
      <c r="S97" s="161">
        <v>-222889</v>
      </c>
      <c r="T97" s="124">
        <v>186811</v>
      </c>
      <c r="U97" s="124">
        <v>87938</v>
      </c>
      <c r="V97" s="136"/>
      <c r="X97" s="116">
        <v>-3812</v>
      </c>
      <c r="Y97" s="116">
        <v>-863</v>
      </c>
      <c r="Z97" s="161">
        <v>47185</v>
      </c>
      <c r="AA97" s="116">
        <v>41215</v>
      </c>
      <c r="AB97" s="117">
        <v>-21</v>
      </c>
      <c r="AD97" s="161">
        <v>5949</v>
      </c>
      <c r="AE97" s="117">
        <v>-354</v>
      </c>
      <c r="AF97" s="117">
        <v>-1389</v>
      </c>
      <c r="AG97" s="116">
        <v>-1886</v>
      </c>
      <c r="AH97" s="117">
        <v>-237</v>
      </c>
      <c r="AI97" s="160">
        <v>2083</v>
      </c>
      <c r="AJ97" s="161">
        <v>100604</v>
      </c>
      <c r="AK97" s="161">
        <v>50439</v>
      </c>
      <c r="AL97" s="150"/>
      <c r="AM97" s="161">
        <v>4900</v>
      </c>
      <c r="AN97" s="161">
        <v>-92055</v>
      </c>
      <c r="AO97" s="160">
        <v>5446</v>
      </c>
      <c r="AQ97" s="160"/>
      <c r="AR97" s="117"/>
      <c r="AS97" s="117"/>
      <c r="AT97" s="99">
        <v>21.75</v>
      </c>
      <c r="AU97" s="130"/>
      <c r="AV97" s="262">
        <v>25</v>
      </c>
      <c r="AW97" s="267">
        <v>47681</v>
      </c>
      <c r="AX97" s="124"/>
      <c r="AY97" s="255">
        <v>0.81569120560890107</v>
      </c>
      <c r="AZ97" s="259">
        <v>85.303975604495605</v>
      </c>
      <c r="BA97" s="160">
        <v>-8930.4964241521775</v>
      </c>
      <c r="BB97" s="130"/>
      <c r="BC97" s="130"/>
      <c r="BD97" s="130"/>
      <c r="BE97" s="128">
        <v>31.591313923183538</v>
      </c>
      <c r="BF97" s="160">
        <v>1426.71084918521</v>
      </c>
      <c r="BG97" s="129">
        <v>36.875634374248996</v>
      </c>
      <c r="BH97" s="131">
        <v>14835.888509049726</v>
      </c>
      <c r="BI97" s="124"/>
      <c r="BJ97" s="117">
        <v>352361</v>
      </c>
      <c r="BK97" s="117">
        <v>592247</v>
      </c>
      <c r="BL97" s="161">
        <v>659</v>
      </c>
      <c r="BM97" s="161">
        <v>-239227</v>
      </c>
      <c r="BN97" s="117">
        <v>193832</v>
      </c>
      <c r="BO97" s="117">
        <v>89006</v>
      </c>
      <c r="BP97" s="136"/>
      <c r="BR97" s="160">
        <v>-4288</v>
      </c>
      <c r="BS97" s="160">
        <v>-1182</v>
      </c>
      <c r="BT97" s="161">
        <v>38141</v>
      </c>
      <c r="BU97" s="125">
        <v>40763</v>
      </c>
      <c r="BV97" s="161">
        <v>-347</v>
      </c>
      <c r="BX97" s="161">
        <v>-2969</v>
      </c>
      <c r="BY97" s="161">
        <v>-212</v>
      </c>
      <c r="BZ97" s="161">
        <v>-175</v>
      </c>
      <c r="CA97" s="161">
        <v>1946</v>
      </c>
      <c r="CB97" s="161">
        <v>-129</v>
      </c>
      <c r="CC97" s="160">
        <v>-5431</v>
      </c>
      <c r="CD97" s="160">
        <v>94512</v>
      </c>
      <c r="CE97" s="116">
        <v>32612</v>
      </c>
      <c r="CF97" s="150"/>
      <c r="CG97" s="161">
        <v>-1155</v>
      </c>
      <c r="CH97" s="160">
        <v>-47815</v>
      </c>
      <c r="CI97" s="159">
        <v>-23478</v>
      </c>
      <c r="CK97" s="124"/>
      <c r="CL97" s="161"/>
      <c r="CM97" s="124"/>
      <c r="CN97" s="265">
        <v>21.75</v>
      </c>
      <c r="CO97" s="130"/>
      <c r="CP97" s="116">
        <v>41</v>
      </c>
      <c r="CQ97" s="267">
        <v>47772</v>
      </c>
      <c r="CR97" s="124"/>
      <c r="CS97" s="268">
        <v>1.1622169203968795</v>
      </c>
      <c r="CT97" s="269">
        <v>88.569121526664858</v>
      </c>
      <c r="CU97" s="160">
        <v>-9330.0887549191993</v>
      </c>
      <c r="CV97" s="130"/>
      <c r="CW97" s="130"/>
      <c r="CX97" s="130"/>
      <c r="CY97" s="269">
        <v>31.150846263741784</v>
      </c>
      <c r="CZ97" s="125">
        <v>1640.5844427698232</v>
      </c>
      <c r="DA97" s="125">
        <v>39.767054237702823</v>
      </c>
      <c r="DB97" s="273">
        <v>15058.025621703089</v>
      </c>
      <c r="DC97" s="124"/>
      <c r="DD97" s="117">
        <v>338852</v>
      </c>
      <c r="DE97" s="117">
        <v>589493</v>
      </c>
      <c r="DF97" s="117">
        <v>1145</v>
      </c>
      <c r="DG97" s="117">
        <v>-249496</v>
      </c>
      <c r="DH97" s="117">
        <v>200559</v>
      </c>
      <c r="DI97" s="117">
        <v>109533</v>
      </c>
      <c r="DJ97" s="136"/>
      <c r="DL97" s="160">
        <v>-4529</v>
      </c>
      <c r="DM97" s="160">
        <v>364</v>
      </c>
      <c r="DN97" s="161">
        <v>56431</v>
      </c>
      <c r="DO97" s="116">
        <v>44948</v>
      </c>
      <c r="DP97" s="161">
        <v>9</v>
      </c>
      <c r="DR97" s="161">
        <v>11492</v>
      </c>
      <c r="DS97" s="117">
        <v>-164</v>
      </c>
      <c r="DT97" s="117">
        <v>-985</v>
      </c>
      <c r="DU97" s="117">
        <v>703</v>
      </c>
      <c r="DV97" s="117">
        <v>-224</v>
      </c>
      <c r="DW97" s="160">
        <v>9416</v>
      </c>
      <c r="DX97" s="160">
        <v>103057</v>
      </c>
      <c r="DY97" s="116">
        <v>51772</v>
      </c>
      <c r="DZ97" s="150"/>
      <c r="EA97" s="117">
        <v>-3842</v>
      </c>
      <c r="EB97" s="116">
        <v>-47864</v>
      </c>
      <c r="EC97" s="159">
        <v>-16561</v>
      </c>
      <c r="EE97" s="125"/>
      <c r="EF97" s="161"/>
      <c r="EG97" s="124"/>
      <c r="EH97" s="253">
        <v>21.5</v>
      </c>
      <c r="EI97" s="130"/>
      <c r="EJ97" s="125">
        <v>80</v>
      </c>
      <c r="EK97" s="116"/>
      <c r="EL97" s="159"/>
      <c r="EN97" s="116"/>
      <c r="EO97" s="116"/>
      <c r="EP97" s="159"/>
      <c r="EQ97" s="159">
        <v>-53816</v>
      </c>
      <c r="ER97" s="116">
        <v>1895</v>
      </c>
      <c r="ES97" s="116">
        <v>6928</v>
      </c>
      <c r="ET97" s="160">
        <v>-59559</v>
      </c>
      <c r="EU97" s="116">
        <v>395</v>
      </c>
      <c r="EV97" s="116">
        <v>3074</v>
      </c>
      <c r="EW97" s="160">
        <v>-76266</v>
      </c>
      <c r="EX97" s="160">
        <v>1198</v>
      </c>
      <c r="EY97" s="160">
        <v>6735</v>
      </c>
      <c r="EZ97" s="116">
        <v>66092</v>
      </c>
      <c r="FA97" s="116">
        <v>-18109</v>
      </c>
      <c r="FB97" s="116">
        <v>70300</v>
      </c>
      <c r="FC97" s="160">
        <v>-8184</v>
      </c>
      <c r="FD97" s="116">
        <v>81332</v>
      </c>
      <c r="FE97" s="116">
        <v>-2236</v>
      </c>
      <c r="FF97" s="3">
        <v>408593</v>
      </c>
      <c r="FG97" s="3">
        <v>353097</v>
      </c>
      <c r="FH97" s="3">
        <v>55496</v>
      </c>
      <c r="FI97" s="3">
        <v>821</v>
      </c>
      <c r="FJ97" s="125">
        <v>422894</v>
      </c>
      <c r="FK97" s="160">
        <v>354312</v>
      </c>
      <c r="FL97" s="125">
        <v>68582</v>
      </c>
      <c r="FM97" s="116">
        <v>797</v>
      </c>
      <c r="FN97" s="125">
        <v>454124</v>
      </c>
      <c r="FO97" s="116">
        <v>375834</v>
      </c>
      <c r="FP97" s="116">
        <v>78290</v>
      </c>
      <c r="FQ97" s="116">
        <v>-3842</v>
      </c>
      <c r="FR97" s="153">
        <v>1730</v>
      </c>
      <c r="FS97" s="153">
        <v>1650</v>
      </c>
      <c r="FT97" s="276">
        <v>1551</v>
      </c>
      <c r="FU97" s="3">
        <v>63502</v>
      </c>
      <c r="FV97" s="159">
        <v>77772</v>
      </c>
      <c r="FW97" s="170"/>
      <c r="FZ97" s="155"/>
      <c r="GA97" s="2"/>
      <c r="GD97" s="163"/>
      <c r="GE97" s="2"/>
      <c r="GF97" s="2"/>
    </row>
    <row r="98" spans="1:188" ht="14.5" x14ac:dyDescent="0.35">
      <c r="B98" s="76" t="s">
        <v>371</v>
      </c>
      <c r="C98" s="158">
        <v>5488130</v>
      </c>
      <c r="D98" s="171"/>
      <c r="E98" s="128">
        <v>1.5263679823177443</v>
      </c>
      <c r="F98" s="128">
        <v>80.756103243819908</v>
      </c>
      <c r="G98" s="129">
        <v>-6400.7277524402662</v>
      </c>
      <c r="H98" s="216"/>
      <c r="I98" s="172"/>
      <c r="J98" s="218"/>
      <c r="K98" s="128">
        <v>42.443907732165421</v>
      </c>
      <c r="L98" s="125">
        <v>1343.5386916855102</v>
      </c>
      <c r="M98" s="129">
        <v>41.772034749970985</v>
      </c>
      <c r="N98" s="125">
        <v>11739.711158445591</v>
      </c>
      <c r="O98" s="129"/>
      <c r="P98" s="124">
        <v>25943563</v>
      </c>
      <c r="Q98" s="161">
        <v>52927942</v>
      </c>
      <c r="R98" s="161">
        <v>66311</v>
      </c>
      <c r="S98" s="161">
        <v>-26918068</v>
      </c>
      <c r="T98" s="124">
        <v>22270468</v>
      </c>
      <c r="U98" s="125">
        <v>9617527</v>
      </c>
      <c r="V98" s="136"/>
      <c r="X98" s="116">
        <v>-334759</v>
      </c>
      <c r="Y98" s="116">
        <v>102912</v>
      </c>
      <c r="Z98" s="161">
        <v>4738081</v>
      </c>
      <c r="AA98" s="116">
        <v>4281198</v>
      </c>
      <c r="AB98" s="117">
        <v>-9816</v>
      </c>
      <c r="AD98" s="161">
        <v>447119</v>
      </c>
      <c r="AE98" s="124">
        <v>-26068</v>
      </c>
      <c r="AF98" s="124">
        <v>17985</v>
      </c>
      <c r="AG98" s="125">
        <v>-84766</v>
      </c>
      <c r="AH98" s="124">
        <v>-64631</v>
      </c>
      <c r="AI98" s="160">
        <v>288815</v>
      </c>
      <c r="AJ98" s="160">
        <v>12553814</v>
      </c>
      <c r="AK98" s="160">
        <v>4083711</v>
      </c>
      <c r="AM98" s="117">
        <v>-120148</v>
      </c>
      <c r="AN98" s="161">
        <v>-2961293</v>
      </c>
      <c r="AO98" s="160">
        <v>-2153549</v>
      </c>
      <c r="AQ98" s="160"/>
      <c r="AR98" s="117"/>
      <c r="AS98" s="117"/>
      <c r="AT98" s="99">
        <v>19.87</v>
      </c>
      <c r="AU98" s="130"/>
      <c r="AV98" s="263" t="s">
        <v>399</v>
      </c>
      <c r="AW98" s="267">
        <v>5495408</v>
      </c>
      <c r="AX98" s="124"/>
      <c r="AY98" s="257">
        <v>1.3569511103880256</v>
      </c>
      <c r="AZ98" s="259">
        <v>84.447330372951342</v>
      </c>
      <c r="BA98" s="160">
        <v>-6908.8508078017139</v>
      </c>
      <c r="BB98" s="130"/>
      <c r="BC98" s="130"/>
      <c r="BD98" s="130"/>
      <c r="BE98" s="128">
        <v>41.859037258543488</v>
      </c>
      <c r="BF98" s="160">
        <v>1415</v>
      </c>
      <c r="BG98" s="130">
        <v>39.995564898031837</v>
      </c>
      <c r="BH98" s="126">
        <v>12284.033505792471</v>
      </c>
      <c r="BI98" s="124"/>
      <c r="BJ98" s="161">
        <v>26773464</v>
      </c>
      <c r="BK98" s="161">
        <v>54871212</v>
      </c>
      <c r="BL98" s="161">
        <v>68648</v>
      </c>
      <c r="BM98" s="161">
        <v>-28029100</v>
      </c>
      <c r="BN98" s="161">
        <v>22852554</v>
      </c>
      <c r="BO98" s="160">
        <v>9778703</v>
      </c>
      <c r="BP98" s="136"/>
      <c r="BR98" s="160">
        <v>-331984</v>
      </c>
      <c r="BS98" s="160">
        <v>204608</v>
      </c>
      <c r="BT98" s="161">
        <v>4474781</v>
      </c>
      <c r="BU98" s="125">
        <v>4468740</v>
      </c>
      <c r="BV98" s="161">
        <v>339759</v>
      </c>
      <c r="BW98" s="117"/>
      <c r="BX98" s="161">
        <v>345800</v>
      </c>
      <c r="BY98" s="161">
        <v>-36500</v>
      </c>
      <c r="BZ98" s="161">
        <v>24483</v>
      </c>
      <c r="CA98" s="161">
        <v>103368</v>
      </c>
      <c r="CB98" s="161">
        <v>-54303</v>
      </c>
      <c r="CC98" s="160">
        <v>176111</v>
      </c>
      <c r="CD98" s="160">
        <v>12668228</v>
      </c>
      <c r="CE98" s="160">
        <v>3883613</v>
      </c>
      <c r="CG98" s="160">
        <v>-198386</v>
      </c>
      <c r="CH98" s="160">
        <v>-3191200</v>
      </c>
      <c r="CI98" s="159">
        <v>-2947318</v>
      </c>
      <c r="CK98" s="124"/>
      <c r="CL98" s="161"/>
      <c r="CM98" s="124"/>
      <c r="CN98" s="265">
        <v>19.899999999999999</v>
      </c>
      <c r="CO98" s="130"/>
      <c r="CP98" s="132" t="s">
        <v>399</v>
      </c>
      <c r="CQ98" s="267">
        <v>5503664</v>
      </c>
      <c r="CR98" s="124"/>
      <c r="CS98" s="271">
        <v>1.9824288535921184</v>
      </c>
      <c r="CT98" s="269">
        <v>84.264663756429755</v>
      </c>
      <c r="CU98" s="160">
        <v>-7091.1732620305311</v>
      </c>
      <c r="CV98" s="130"/>
      <c r="CW98" s="130"/>
      <c r="CX98" s="130"/>
      <c r="CY98" s="269">
        <v>42.051979561336196</v>
      </c>
      <c r="CZ98" s="125">
        <v>1682.390131374299</v>
      </c>
      <c r="DA98" s="274">
        <v>49.384024317471685</v>
      </c>
      <c r="DB98" s="273">
        <v>12434.636634794566</v>
      </c>
      <c r="DC98" s="124"/>
      <c r="DD98" s="124">
        <v>26450859</v>
      </c>
      <c r="DE98" s="124">
        <v>55390857</v>
      </c>
      <c r="DF98" s="124">
        <v>93462</v>
      </c>
      <c r="DG98" s="124">
        <v>-28846536</v>
      </c>
      <c r="DH98" s="124">
        <v>23776310</v>
      </c>
      <c r="DI98" s="125">
        <v>12215170</v>
      </c>
      <c r="DJ98" s="136"/>
      <c r="DL98" s="160">
        <v>-355306</v>
      </c>
      <c r="DM98" s="160">
        <v>104750</v>
      </c>
      <c r="DN98" s="124">
        <v>6894388</v>
      </c>
      <c r="DO98" s="125">
        <v>4681442</v>
      </c>
      <c r="DP98" s="124">
        <v>119640</v>
      </c>
      <c r="DQ98" s="117"/>
      <c r="DR98" s="124">
        <v>2332586</v>
      </c>
      <c r="DS98" s="124">
        <v>-45422</v>
      </c>
      <c r="DT98" s="124">
        <v>-58220</v>
      </c>
      <c r="DU98" s="124">
        <v>75433</v>
      </c>
      <c r="DV98" s="124">
        <v>-68982</v>
      </c>
      <c r="DW98" s="125">
        <v>2084529</v>
      </c>
      <c r="DX98" s="160">
        <v>14696103</v>
      </c>
      <c r="DY98" s="125">
        <v>6368334</v>
      </c>
      <c r="EA98" s="125">
        <v>130334</v>
      </c>
      <c r="EB98" s="116">
        <v>-3269367</v>
      </c>
      <c r="EC98" s="27">
        <v>-897135</v>
      </c>
      <c r="ED98" s="124"/>
      <c r="EF98" s="161"/>
      <c r="EG98" s="124"/>
      <c r="EH98" s="253">
        <v>19.98</v>
      </c>
      <c r="EI98" s="130"/>
      <c r="EJ98" s="277" t="s">
        <v>399</v>
      </c>
      <c r="EK98" s="116"/>
      <c r="EL98" s="159"/>
      <c r="EN98" s="116"/>
      <c r="EO98" s="116"/>
      <c r="EP98" s="159"/>
      <c r="EQ98" s="159">
        <v>-7989989</v>
      </c>
      <c r="ER98" s="125">
        <v>167734</v>
      </c>
      <c r="ES98" s="125">
        <v>1584995</v>
      </c>
      <c r="ET98" s="159">
        <v>-8899040</v>
      </c>
      <c r="EU98" s="160">
        <v>189104</v>
      </c>
      <c r="EV98" s="160">
        <v>1879005</v>
      </c>
      <c r="EW98" s="159">
        <v>-9180621</v>
      </c>
      <c r="EX98" s="125">
        <v>203417</v>
      </c>
      <c r="EY98" s="125">
        <v>1711735</v>
      </c>
      <c r="EZ98" s="116">
        <v>4325546</v>
      </c>
      <c r="FA98" s="116">
        <v>64935</v>
      </c>
      <c r="FB98" s="260">
        <v>5848370</v>
      </c>
      <c r="FC98" s="160">
        <v>541869</v>
      </c>
      <c r="FD98" s="275">
        <v>6260610</v>
      </c>
      <c r="FE98" s="125">
        <v>-989476</v>
      </c>
      <c r="FF98" s="3">
        <v>35989235</v>
      </c>
      <c r="FG98" s="3">
        <v>30314309</v>
      </c>
      <c r="FH98" s="3">
        <v>5674926</v>
      </c>
      <c r="FI98" s="3">
        <v>1170334</v>
      </c>
      <c r="FJ98" s="125">
        <v>39046656</v>
      </c>
      <c r="FK98" s="160">
        <v>32611444</v>
      </c>
      <c r="FL98" s="125">
        <v>6435212</v>
      </c>
      <c r="FM98" s="116">
        <v>1087580</v>
      </c>
      <c r="FN98" s="125">
        <v>41172486</v>
      </c>
      <c r="FO98" s="125">
        <v>35466665</v>
      </c>
      <c r="FP98" s="125">
        <v>5705821</v>
      </c>
      <c r="FQ98" s="125">
        <v>130334</v>
      </c>
      <c r="FR98" s="153">
        <v>1508183</v>
      </c>
      <c r="FS98" s="153">
        <v>1443994</v>
      </c>
      <c r="FT98" s="162">
        <v>1487603</v>
      </c>
      <c r="FU98" s="159">
        <v>6171371</v>
      </c>
      <c r="FV98" s="27">
        <v>7234678</v>
      </c>
      <c r="FW98" s="170"/>
      <c r="FZ98" s="155"/>
      <c r="GA98" s="2"/>
      <c r="GD98" s="163"/>
      <c r="GF98" s="2"/>
    </row>
    <row r="99" spans="1:188" ht="14.5" x14ac:dyDescent="0.35">
      <c r="A99" s="72">
        <v>273</v>
      </c>
      <c r="B99" s="70" t="s">
        <v>95</v>
      </c>
      <c r="C99" s="158">
        <v>3834</v>
      </c>
      <c r="D99" s="171"/>
      <c r="E99" s="128">
        <v>1.8856755535472209</v>
      </c>
      <c r="F99" s="128">
        <v>50.485990690882538</v>
      </c>
      <c r="G99" s="129">
        <v>-3642.1491914449662</v>
      </c>
      <c r="H99" s="216"/>
      <c r="I99" s="172"/>
      <c r="J99" s="218"/>
      <c r="K99" s="128">
        <v>51.868506426840788</v>
      </c>
      <c r="L99" s="129">
        <v>1508.6071987480439</v>
      </c>
      <c r="M99" s="129">
        <v>47.680737177315535</v>
      </c>
      <c r="N99" s="129">
        <v>11548.513302034429</v>
      </c>
      <c r="O99" s="129"/>
      <c r="P99" s="117">
        <v>14698</v>
      </c>
      <c r="Q99" s="161">
        <v>39667</v>
      </c>
      <c r="R99" s="161">
        <v>0</v>
      </c>
      <c r="S99" s="161">
        <v>-24969</v>
      </c>
      <c r="T99" s="124">
        <v>14808</v>
      </c>
      <c r="U99" s="124">
        <v>14322</v>
      </c>
      <c r="V99" s="136"/>
      <c r="X99" s="116">
        <v>-121</v>
      </c>
      <c r="Y99" s="116">
        <v>7</v>
      </c>
      <c r="Z99" s="161">
        <v>4047</v>
      </c>
      <c r="AA99" s="116">
        <v>2943</v>
      </c>
      <c r="AB99" s="124">
        <v>0</v>
      </c>
      <c r="AD99" s="161">
        <v>1104</v>
      </c>
      <c r="AE99" s="124">
        <v>-6</v>
      </c>
      <c r="AF99" s="124">
        <v>13</v>
      </c>
      <c r="AG99" s="125">
        <v>-5</v>
      </c>
      <c r="AH99" s="124">
        <v>19</v>
      </c>
      <c r="AI99" s="160">
        <v>1125</v>
      </c>
      <c r="AJ99" s="161">
        <v>14090</v>
      </c>
      <c r="AK99" s="161">
        <v>4044</v>
      </c>
      <c r="AL99" s="150"/>
      <c r="AM99" s="161">
        <v>261</v>
      </c>
      <c r="AN99" s="161">
        <v>-2087</v>
      </c>
      <c r="AO99" s="160">
        <v>2424</v>
      </c>
      <c r="AQ99" s="160"/>
      <c r="AR99" s="124"/>
      <c r="AS99" s="124"/>
      <c r="AT99" s="99">
        <v>20</v>
      </c>
      <c r="AU99" s="130"/>
      <c r="AV99" s="262">
        <v>20</v>
      </c>
      <c r="AW99" s="267">
        <v>3846</v>
      </c>
      <c r="AX99" s="124"/>
      <c r="AY99" s="255">
        <v>3.6360655737704919</v>
      </c>
      <c r="AZ99" s="259">
        <v>59.940196121542591</v>
      </c>
      <c r="BA99" s="160">
        <v>-2849.4539781591261</v>
      </c>
      <c r="BB99" s="130"/>
      <c r="BC99" s="130"/>
      <c r="BD99" s="130"/>
      <c r="BE99" s="128">
        <v>49.241055294542825</v>
      </c>
      <c r="BF99" s="160">
        <v>3590.4836193447741</v>
      </c>
      <c r="BG99" s="129">
        <v>47.432204722640364</v>
      </c>
      <c r="BH99" s="131">
        <v>11572.802912116485</v>
      </c>
      <c r="BI99" s="124"/>
      <c r="BJ99" s="117">
        <v>15744</v>
      </c>
      <c r="BK99" s="117">
        <v>41059</v>
      </c>
      <c r="BL99" s="161">
        <v>0</v>
      </c>
      <c r="BM99" s="161">
        <v>-25315</v>
      </c>
      <c r="BN99" s="117">
        <v>15064</v>
      </c>
      <c r="BO99" s="117">
        <v>14674</v>
      </c>
      <c r="BP99" s="136"/>
      <c r="BR99" s="160">
        <v>-79</v>
      </c>
      <c r="BS99" s="160">
        <v>9</v>
      </c>
      <c r="BT99" s="161">
        <v>4353</v>
      </c>
      <c r="BU99" s="125">
        <v>2931</v>
      </c>
      <c r="BV99" s="161">
        <v>0</v>
      </c>
      <c r="BW99" s="124"/>
      <c r="BX99" s="161">
        <v>1422</v>
      </c>
      <c r="BY99" s="161">
        <v>-19</v>
      </c>
      <c r="BZ99" s="161">
        <v>1</v>
      </c>
      <c r="CA99" s="161">
        <v>10</v>
      </c>
      <c r="CB99" s="161">
        <v>-48</v>
      </c>
      <c r="CC99" s="160">
        <v>1346</v>
      </c>
      <c r="CD99" s="160">
        <v>19733</v>
      </c>
      <c r="CE99" s="116">
        <v>4258</v>
      </c>
      <c r="CF99" s="150"/>
      <c r="CG99" s="161">
        <v>-152</v>
      </c>
      <c r="CH99" s="160">
        <v>-1137</v>
      </c>
      <c r="CI99" s="159">
        <v>2391</v>
      </c>
      <c r="CK99" s="124"/>
      <c r="CL99" s="161"/>
      <c r="CM99" s="124"/>
      <c r="CN99" s="266">
        <v>20</v>
      </c>
      <c r="CO99" s="130"/>
      <c r="CP99" s="132">
        <v>13</v>
      </c>
      <c r="CQ99" s="267">
        <v>3925</v>
      </c>
      <c r="CR99" s="124"/>
      <c r="CS99" s="268">
        <v>4.3229873908826386</v>
      </c>
      <c r="CT99" s="269">
        <v>60.486642041061764</v>
      </c>
      <c r="CU99" s="160">
        <v>-3541.1464968152868</v>
      </c>
      <c r="CV99" s="130"/>
      <c r="CW99" s="130"/>
      <c r="CX99" s="130"/>
      <c r="CY99" s="269">
        <v>49.635404007083579</v>
      </c>
      <c r="CZ99" s="125">
        <v>2864.7133757961783</v>
      </c>
      <c r="DA99" s="125">
        <v>79.671921105761754</v>
      </c>
      <c r="DB99" s="273">
        <v>13124.076433121019</v>
      </c>
      <c r="DC99" s="124"/>
      <c r="DD99" s="117">
        <v>14855</v>
      </c>
      <c r="DE99" s="117">
        <v>42127</v>
      </c>
      <c r="DF99" s="117">
        <v>0</v>
      </c>
      <c r="DG99" s="117">
        <v>-27272</v>
      </c>
      <c r="DH99" s="117">
        <v>15074</v>
      </c>
      <c r="DI99" s="117">
        <v>16635</v>
      </c>
      <c r="DJ99" s="136"/>
      <c r="DL99" s="160">
        <v>-109</v>
      </c>
      <c r="DM99" s="160">
        <v>14</v>
      </c>
      <c r="DN99" s="161">
        <v>4342</v>
      </c>
      <c r="DO99" s="116">
        <v>2958</v>
      </c>
      <c r="DP99" s="161">
        <v>1</v>
      </c>
      <c r="DQ99" s="124"/>
      <c r="DR99" s="161">
        <v>1385</v>
      </c>
      <c r="DS99" s="117">
        <v>-19</v>
      </c>
      <c r="DT99" s="117">
        <v>0</v>
      </c>
      <c r="DU99" s="117">
        <v>13</v>
      </c>
      <c r="DV99" s="117">
        <v>-34</v>
      </c>
      <c r="DW99" s="160">
        <v>1319</v>
      </c>
      <c r="DX99" s="160">
        <v>21071</v>
      </c>
      <c r="DY99" s="116">
        <v>4216</v>
      </c>
      <c r="DZ99" s="150"/>
      <c r="EA99" s="117">
        <v>-292</v>
      </c>
      <c r="EB99" s="116">
        <v>-916</v>
      </c>
      <c r="EC99" s="159">
        <v>-3175</v>
      </c>
      <c r="EE99" s="125"/>
      <c r="EF99" s="161"/>
      <c r="EG99" s="124"/>
      <c r="EH99" s="253">
        <v>20</v>
      </c>
      <c r="EI99" s="130"/>
      <c r="EJ99" s="277">
        <v>101</v>
      </c>
      <c r="EK99" s="116"/>
      <c r="EL99" s="159"/>
      <c r="EN99" s="116"/>
      <c r="EO99" s="116"/>
      <c r="EP99" s="159"/>
      <c r="EQ99" s="159">
        <v>-2020</v>
      </c>
      <c r="ER99" s="116">
        <v>89</v>
      </c>
      <c r="ES99" s="116">
        <v>311</v>
      </c>
      <c r="ET99" s="160">
        <v>-2211</v>
      </c>
      <c r="EU99" s="116">
        <v>29</v>
      </c>
      <c r="EV99" s="116">
        <v>315</v>
      </c>
      <c r="EW99" s="160">
        <v>-7722</v>
      </c>
      <c r="EX99" s="160">
        <v>165</v>
      </c>
      <c r="EY99" s="160">
        <v>166</v>
      </c>
      <c r="EZ99" s="116">
        <v>234</v>
      </c>
      <c r="FA99" s="116">
        <v>2</v>
      </c>
      <c r="FB99" s="116">
        <v>5887</v>
      </c>
      <c r="FC99" s="160">
        <v>-12</v>
      </c>
      <c r="FD99" s="116">
        <v>1154</v>
      </c>
      <c r="FE99" s="116">
        <v>16</v>
      </c>
      <c r="FF99" s="3">
        <v>9885</v>
      </c>
      <c r="FG99" s="3">
        <v>8750</v>
      </c>
      <c r="FH99" s="3">
        <v>1135</v>
      </c>
      <c r="FI99" s="3">
        <v>493</v>
      </c>
      <c r="FJ99" s="125">
        <v>14340</v>
      </c>
      <c r="FK99" s="160">
        <v>13440</v>
      </c>
      <c r="FL99" s="125">
        <v>900</v>
      </c>
      <c r="FM99" s="116">
        <v>335</v>
      </c>
      <c r="FN99" s="125">
        <v>14387</v>
      </c>
      <c r="FO99" s="116">
        <v>13609</v>
      </c>
      <c r="FP99" s="116">
        <v>778</v>
      </c>
      <c r="FQ99" s="116">
        <v>-292</v>
      </c>
      <c r="FR99" s="153">
        <v>4714</v>
      </c>
      <c r="FS99" s="153">
        <v>4390</v>
      </c>
      <c r="FT99" s="276">
        <v>3697</v>
      </c>
      <c r="FU99" s="3">
        <v>327</v>
      </c>
      <c r="FV99" s="159">
        <v>385</v>
      </c>
      <c r="FW99" s="170"/>
      <c r="FZ99" s="155"/>
      <c r="GA99" s="2"/>
      <c r="GD99" s="163"/>
      <c r="GE99" s="2"/>
      <c r="GF99" s="2"/>
    </row>
    <row r="100" spans="1:188" ht="14.5" x14ac:dyDescent="0.35">
      <c r="A100" s="72">
        <v>275</v>
      </c>
      <c r="B100" s="70" t="s">
        <v>96</v>
      </c>
      <c r="C100" s="158">
        <v>2698</v>
      </c>
      <c r="D100" s="171"/>
      <c r="E100" s="128">
        <v>0.23065015479876161</v>
      </c>
      <c r="F100" s="128">
        <v>123.06022382752555</v>
      </c>
      <c r="G100" s="125">
        <v>-10540.400296515938</v>
      </c>
      <c r="H100" s="216"/>
      <c r="I100" s="172"/>
      <c r="J100" s="218"/>
      <c r="K100" s="128">
        <v>23.667495167080919</v>
      </c>
      <c r="L100" s="129">
        <v>915.12231282431435</v>
      </c>
      <c r="M100" s="129">
        <v>28.266263095163414</v>
      </c>
      <c r="N100" s="129">
        <v>11816.901408450703</v>
      </c>
      <c r="O100" s="129"/>
      <c r="P100" s="117">
        <v>8530</v>
      </c>
      <c r="Q100" s="161">
        <v>26317</v>
      </c>
      <c r="R100" s="161">
        <v>0</v>
      </c>
      <c r="S100" s="161">
        <v>-17787</v>
      </c>
      <c r="T100" s="124">
        <v>8897</v>
      </c>
      <c r="U100" s="124">
        <v>9290</v>
      </c>
      <c r="V100" s="136"/>
      <c r="X100" s="116">
        <v>22</v>
      </c>
      <c r="Y100" s="116">
        <v>-51</v>
      </c>
      <c r="Z100" s="161">
        <v>371</v>
      </c>
      <c r="AA100" s="116">
        <v>1881</v>
      </c>
      <c r="AB100" s="117">
        <v>0</v>
      </c>
      <c r="AD100" s="161">
        <v>-1510</v>
      </c>
      <c r="AE100" s="117">
        <v>0</v>
      </c>
      <c r="AF100" s="117">
        <v>-1</v>
      </c>
      <c r="AG100" s="116">
        <v>-42</v>
      </c>
      <c r="AH100" s="116">
        <v>2</v>
      </c>
      <c r="AI100" s="160">
        <v>-1551</v>
      </c>
      <c r="AJ100" s="161">
        <v>1395</v>
      </c>
      <c r="AK100" s="161">
        <v>318</v>
      </c>
      <c r="AL100" s="150"/>
      <c r="AM100" s="161">
        <v>125</v>
      </c>
      <c r="AN100" s="161">
        <v>-2359</v>
      </c>
      <c r="AO100" s="160">
        <v>-2044</v>
      </c>
      <c r="AQ100" s="160"/>
      <c r="AR100" s="117"/>
      <c r="AS100" s="117"/>
      <c r="AT100" s="99">
        <v>22</v>
      </c>
      <c r="AU100" s="130"/>
      <c r="AV100" s="262">
        <v>267</v>
      </c>
      <c r="AW100" s="267">
        <v>2627</v>
      </c>
      <c r="AX100" s="124"/>
      <c r="AY100" s="255">
        <v>-1.4114196323816972</v>
      </c>
      <c r="AZ100" s="259">
        <v>129.40795242270596</v>
      </c>
      <c r="BA100" s="160">
        <v>-11497.525694708793</v>
      </c>
      <c r="BB100" s="130"/>
      <c r="BC100" s="130"/>
      <c r="BD100" s="130"/>
      <c r="BE100" s="128">
        <v>10.79693324892734</v>
      </c>
      <c r="BF100" s="160">
        <v>993.90940236010658</v>
      </c>
      <c r="BG100" s="129">
        <v>25.243464667226359</v>
      </c>
      <c r="BH100" s="131">
        <v>13149.21964217739</v>
      </c>
      <c r="BI100" s="124"/>
      <c r="BJ100" s="117">
        <v>8378</v>
      </c>
      <c r="BK100" s="117">
        <v>30037</v>
      </c>
      <c r="BL100" s="161">
        <v>0</v>
      </c>
      <c r="BM100" s="161">
        <v>-21659</v>
      </c>
      <c r="BN100" s="117">
        <v>8806</v>
      </c>
      <c r="BO100" s="117">
        <v>9047</v>
      </c>
      <c r="BP100" s="136"/>
      <c r="BR100" s="160">
        <v>-195</v>
      </c>
      <c r="BS100" s="160">
        <v>158</v>
      </c>
      <c r="BT100" s="161">
        <v>-3843</v>
      </c>
      <c r="BU100" s="125">
        <v>1715</v>
      </c>
      <c r="BV100" s="161">
        <v>0</v>
      </c>
      <c r="BX100" s="161">
        <v>-5558</v>
      </c>
      <c r="BY100" s="161">
        <v>0</v>
      </c>
      <c r="BZ100" s="160">
        <v>0</v>
      </c>
      <c r="CA100" s="160">
        <v>27</v>
      </c>
      <c r="CB100" s="160">
        <v>4</v>
      </c>
      <c r="CC100" s="160">
        <v>-5581</v>
      </c>
      <c r="CD100" s="160">
        <v>-4283</v>
      </c>
      <c r="CE100" s="116">
        <v>-30</v>
      </c>
      <c r="CF100" s="150"/>
      <c r="CG100" s="161">
        <v>826</v>
      </c>
      <c r="CH100" s="160">
        <v>-2323</v>
      </c>
      <c r="CI100" s="159">
        <v>-1756</v>
      </c>
      <c r="CK100" s="124"/>
      <c r="CL100" s="161"/>
      <c r="CM100" s="124"/>
      <c r="CN100" s="265">
        <v>22</v>
      </c>
      <c r="CO100" s="130"/>
      <c r="CP100" s="116">
        <v>294</v>
      </c>
      <c r="CQ100" s="267">
        <v>2593</v>
      </c>
      <c r="CR100" s="124"/>
      <c r="CS100" s="268">
        <v>1.1432098765432099</v>
      </c>
      <c r="CT100" s="269">
        <v>129.64566520037408</v>
      </c>
      <c r="CU100" s="160">
        <v>-12658.310836868493</v>
      </c>
      <c r="CV100" s="130"/>
      <c r="CW100" s="130"/>
      <c r="CX100" s="130"/>
      <c r="CY100" s="269">
        <v>9.0284640042418847</v>
      </c>
      <c r="CZ100" s="125">
        <v>1131.5079059005013</v>
      </c>
      <c r="DA100" s="125">
        <v>35.453552274382574</v>
      </c>
      <c r="DB100" s="273">
        <v>11649.055148476667</v>
      </c>
      <c r="DC100" s="124"/>
      <c r="DD100" s="117">
        <v>9093</v>
      </c>
      <c r="DE100" s="117">
        <v>25606</v>
      </c>
      <c r="DF100" s="117">
        <v>0</v>
      </c>
      <c r="DG100" s="117">
        <v>-16513</v>
      </c>
      <c r="DH100" s="117">
        <v>8687</v>
      </c>
      <c r="DI100" s="117">
        <v>11091</v>
      </c>
      <c r="DJ100" s="136"/>
      <c r="DL100" s="160">
        <v>24</v>
      </c>
      <c r="DM100" s="160">
        <v>-261</v>
      </c>
      <c r="DN100" s="161">
        <v>3028</v>
      </c>
      <c r="DO100" s="116">
        <v>1931</v>
      </c>
      <c r="DP100" s="161">
        <v>0</v>
      </c>
      <c r="DR100" s="161">
        <v>1097</v>
      </c>
      <c r="DS100" s="117">
        <v>0</v>
      </c>
      <c r="DT100" s="116">
        <v>-1</v>
      </c>
      <c r="DU100" s="116">
        <v>24</v>
      </c>
      <c r="DV100" s="116">
        <v>3</v>
      </c>
      <c r="DW100" s="160">
        <v>1075</v>
      </c>
      <c r="DX100" s="160">
        <v>-5076</v>
      </c>
      <c r="DY100" s="116">
        <v>-624</v>
      </c>
      <c r="DZ100" s="150"/>
      <c r="EA100" s="117">
        <v>-596</v>
      </c>
      <c r="EB100" s="116">
        <v>-2622</v>
      </c>
      <c r="EC100" s="159">
        <v>-1998</v>
      </c>
      <c r="EE100" s="125"/>
      <c r="EF100" s="161"/>
      <c r="EG100" s="124"/>
      <c r="EH100" s="253">
        <v>22</v>
      </c>
      <c r="EI100" s="130"/>
      <c r="EJ100" s="125">
        <v>85</v>
      </c>
      <c r="EK100" s="116"/>
      <c r="EL100" s="159"/>
      <c r="EN100" s="116"/>
      <c r="EO100" s="116"/>
      <c r="EP100" s="159"/>
      <c r="EQ100" s="159">
        <v>-2919</v>
      </c>
      <c r="ER100" s="116">
        <v>180</v>
      </c>
      <c r="ES100" s="116">
        <v>377</v>
      </c>
      <c r="ET100" s="160">
        <v>-1892</v>
      </c>
      <c r="EU100" s="116">
        <v>28</v>
      </c>
      <c r="EV100" s="116">
        <v>138</v>
      </c>
      <c r="EW100" s="160">
        <v>-1500</v>
      </c>
      <c r="EX100" s="160">
        <v>3</v>
      </c>
      <c r="EY100" s="160">
        <v>123</v>
      </c>
      <c r="EZ100" s="116">
        <v>2944</v>
      </c>
      <c r="FA100" s="116">
        <v>353</v>
      </c>
      <c r="FB100" s="116">
        <v>2820</v>
      </c>
      <c r="FC100" s="160">
        <v>656</v>
      </c>
      <c r="FD100" s="116">
        <v>3884</v>
      </c>
      <c r="FE100" s="116">
        <v>2451</v>
      </c>
      <c r="FF100" s="3">
        <v>27962</v>
      </c>
      <c r="FG100" s="3">
        <v>25448</v>
      </c>
      <c r="FH100" s="3">
        <v>2514</v>
      </c>
      <c r="FI100" s="3">
        <v>0</v>
      </c>
      <c r="FJ100" s="125">
        <v>29208</v>
      </c>
      <c r="FK100" s="160">
        <v>26024</v>
      </c>
      <c r="FL100" s="125">
        <v>3184</v>
      </c>
      <c r="FM100" s="116">
        <v>0</v>
      </c>
      <c r="FN100" s="125">
        <v>32817</v>
      </c>
      <c r="FO100" s="116">
        <v>27205</v>
      </c>
      <c r="FP100" s="116">
        <v>5612</v>
      </c>
      <c r="FQ100" s="116">
        <v>-596</v>
      </c>
      <c r="FR100" s="153">
        <v>6746</v>
      </c>
      <c r="FS100" s="153">
        <v>6463</v>
      </c>
      <c r="FT100" s="276">
        <v>450</v>
      </c>
      <c r="FU100" s="3">
        <v>292</v>
      </c>
      <c r="FV100" s="159">
        <v>132</v>
      </c>
      <c r="FW100" s="170"/>
      <c r="FZ100" s="155"/>
      <c r="GA100" s="2"/>
      <c r="GD100" s="163"/>
      <c r="GE100" s="2"/>
      <c r="GF100" s="2"/>
    </row>
    <row r="101" spans="1:188" ht="14.5" x14ac:dyDescent="0.35">
      <c r="A101" s="72">
        <v>276</v>
      </c>
      <c r="B101" s="70" t="s">
        <v>97</v>
      </c>
      <c r="C101" s="158">
        <v>14849</v>
      </c>
      <c r="D101" s="171"/>
      <c r="E101" s="128">
        <v>0.30857078245137948</v>
      </c>
      <c r="F101" s="128">
        <v>65.982924848838394</v>
      </c>
      <c r="G101" s="129">
        <v>-4614.4521516600444</v>
      </c>
      <c r="H101" s="216"/>
      <c r="I101" s="172"/>
      <c r="J101" s="218"/>
      <c r="K101" s="128">
        <v>33.667817663553571</v>
      </c>
      <c r="L101" s="129">
        <v>620.64785507441582</v>
      </c>
      <c r="M101" s="129">
        <v>22.616787241481322</v>
      </c>
      <c r="N101" s="129">
        <v>10016.297393763891</v>
      </c>
      <c r="O101" s="129"/>
      <c r="P101" s="117">
        <v>52941</v>
      </c>
      <c r="Q101" s="161">
        <v>124287</v>
      </c>
      <c r="R101" s="161">
        <v>1</v>
      </c>
      <c r="S101" s="161">
        <v>-71345</v>
      </c>
      <c r="T101" s="124">
        <v>49315</v>
      </c>
      <c r="U101" s="124">
        <v>24595</v>
      </c>
      <c r="V101" s="136"/>
      <c r="X101" s="116">
        <v>-700</v>
      </c>
      <c r="Y101" s="116">
        <v>136</v>
      </c>
      <c r="Z101" s="161">
        <v>2001</v>
      </c>
      <c r="AA101" s="116">
        <v>5978</v>
      </c>
      <c r="AB101" s="116">
        <v>36</v>
      </c>
      <c r="AD101" s="161">
        <v>-3941</v>
      </c>
      <c r="AE101" s="116">
        <v>1</v>
      </c>
      <c r="AF101" s="116">
        <v>66</v>
      </c>
      <c r="AG101" s="116">
        <v>-30</v>
      </c>
      <c r="AH101" s="116">
        <v>-5</v>
      </c>
      <c r="AI101" s="160">
        <v>-3909</v>
      </c>
      <c r="AJ101" s="161">
        <v>21864</v>
      </c>
      <c r="AK101" s="161">
        <v>1919</v>
      </c>
      <c r="AL101" s="150"/>
      <c r="AM101" s="161">
        <v>-456</v>
      </c>
      <c r="AN101" s="161">
        <v>-8116</v>
      </c>
      <c r="AO101" s="160">
        <v>-12661</v>
      </c>
      <c r="AQ101" s="160"/>
      <c r="AR101" s="117"/>
      <c r="AS101" s="117"/>
      <c r="AT101" s="99">
        <v>20.5</v>
      </c>
      <c r="AU101" s="130"/>
      <c r="AV101" s="262">
        <v>269</v>
      </c>
      <c r="AW101" s="267">
        <v>14821</v>
      </c>
      <c r="AX101" s="124"/>
      <c r="AY101" s="255">
        <v>0.85274361889015193</v>
      </c>
      <c r="AZ101" s="259">
        <v>65.040902658483617</v>
      </c>
      <c r="BA101" s="160">
        <v>-4876.1891910127524</v>
      </c>
      <c r="BB101" s="130"/>
      <c r="BC101" s="130"/>
      <c r="BD101" s="130"/>
      <c r="BE101" s="128">
        <v>33.106824993708102</v>
      </c>
      <c r="BF101" s="160">
        <v>532.42021456042096</v>
      </c>
      <c r="BG101" s="129">
        <v>23.074770201673754</v>
      </c>
      <c r="BH101" s="131">
        <v>9836.0434518588499</v>
      </c>
      <c r="BI101" s="124"/>
      <c r="BJ101" s="117">
        <v>53386</v>
      </c>
      <c r="BK101" s="117">
        <v>124254</v>
      </c>
      <c r="BL101" s="161">
        <v>16</v>
      </c>
      <c r="BM101" s="161">
        <v>-70852</v>
      </c>
      <c r="BN101" s="117">
        <v>52704</v>
      </c>
      <c r="BO101" s="117">
        <v>26053</v>
      </c>
      <c r="BP101" s="136"/>
      <c r="BR101" s="160">
        <v>-755</v>
      </c>
      <c r="BS101" s="160">
        <v>304</v>
      </c>
      <c r="BT101" s="161">
        <v>7454</v>
      </c>
      <c r="BU101" s="125">
        <v>7684</v>
      </c>
      <c r="BV101" s="160">
        <v>0</v>
      </c>
      <c r="BW101" s="117"/>
      <c r="BX101" s="161">
        <v>-230</v>
      </c>
      <c r="BY101" s="160">
        <v>-6</v>
      </c>
      <c r="BZ101" s="161">
        <v>168</v>
      </c>
      <c r="CA101" s="160">
        <v>7</v>
      </c>
      <c r="CB101" s="160">
        <v>9</v>
      </c>
      <c r="CC101" s="160">
        <v>-66</v>
      </c>
      <c r="CD101" s="160">
        <v>21496</v>
      </c>
      <c r="CE101" s="116">
        <v>6740</v>
      </c>
      <c r="CF101" s="150"/>
      <c r="CG101" s="161">
        <v>178</v>
      </c>
      <c r="CH101" s="160">
        <v>-8879</v>
      </c>
      <c r="CI101" s="159">
        <v>-4402</v>
      </c>
      <c r="CK101" s="124"/>
      <c r="CL101" s="161"/>
      <c r="CM101" s="124"/>
      <c r="CN101" s="265">
        <v>20.5</v>
      </c>
      <c r="CO101" s="130"/>
      <c r="CP101" s="116">
        <v>118</v>
      </c>
      <c r="CQ101" s="267">
        <v>14857</v>
      </c>
      <c r="CR101" s="124"/>
      <c r="CS101" s="268">
        <v>1.4496637351267461</v>
      </c>
      <c r="CT101" s="269">
        <v>61.635608683783282</v>
      </c>
      <c r="CU101" s="160">
        <v>-4249.7139395571112</v>
      </c>
      <c r="CV101" s="130"/>
      <c r="CW101" s="130"/>
      <c r="CX101" s="130"/>
      <c r="CY101" s="269">
        <v>35.981977551492712</v>
      </c>
      <c r="CZ101" s="125">
        <v>1053.5774382445986</v>
      </c>
      <c r="DA101" s="125">
        <v>39.280474389824683</v>
      </c>
      <c r="DB101" s="273">
        <v>9789.9979807498148</v>
      </c>
      <c r="DC101" s="124"/>
      <c r="DD101" s="117">
        <v>53548</v>
      </c>
      <c r="DE101" s="117">
        <v>125470</v>
      </c>
      <c r="DF101" s="117">
        <v>-12</v>
      </c>
      <c r="DG101" s="117">
        <v>-71934</v>
      </c>
      <c r="DH101" s="117">
        <v>54019</v>
      </c>
      <c r="DI101" s="117">
        <v>31635</v>
      </c>
      <c r="DJ101" s="136"/>
      <c r="DL101" s="160">
        <v>-679</v>
      </c>
      <c r="DM101" s="160">
        <v>237</v>
      </c>
      <c r="DN101" s="161">
        <v>13278</v>
      </c>
      <c r="DO101" s="116">
        <v>7076</v>
      </c>
      <c r="DP101" s="160">
        <v>0</v>
      </c>
      <c r="DQ101" s="117"/>
      <c r="DR101" s="161">
        <v>6202</v>
      </c>
      <c r="DS101" s="116">
        <v>2</v>
      </c>
      <c r="DT101" s="117">
        <v>5</v>
      </c>
      <c r="DU101" s="116">
        <v>56</v>
      </c>
      <c r="DV101" s="116">
        <v>-12</v>
      </c>
      <c r="DW101" s="160">
        <v>6141</v>
      </c>
      <c r="DX101" s="160">
        <v>27868</v>
      </c>
      <c r="DY101" s="116">
        <v>13997</v>
      </c>
      <c r="DZ101" s="150"/>
      <c r="EA101" s="117">
        <v>-1261</v>
      </c>
      <c r="EB101" s="116">
        <v>-8932</v>
      </c>
      <c r="EC101" s="159">
        <v>9525</v>
      </c>
      <c r="EE101" s="125"/>
      <c r="EF101" s="161"/>
      <c r="EG101" s="124"/>
      <c r="EH101" s="253">
        <v>20.5</v>
      </c>
      <c r="EI101" s="130"/>
      <c r="EJ101" s="125">
        <v>195</v>
      </c>
      <c r="EK101" s="116"/>
      <c r="EL101" s="159"/>
      <c r="EN101" s="116"/>
      <c r="EO101" s="116"/>
      <c r="EP101" s="159"/>
      <c r="EQ101" s="159">
        <v>-15365</v>
      </c>
      <c r="ER101" s="116">
        <v>470</v>
      </c>
      <c r="ES101" s="116">
        <v>315</v>
      </c>
      <c r="ET101" s="160">
        <v>-11777</v>
      </c>
      <c r="EU101" s="116">
        <v>78</v>
      </c>
      <c r="EV101" s="116">
        <v>557</v>
      </c>
      <c r="EW101" s="160">
        <v>-10275</v>
      </c>
      <c r="EX101" s="160">
        <v>26</v>
      </c>
      <c r="EY101" s="160">
        <v>5777</v>
      </c>
      <c r="EZ101" s="116">
        <v>11325</v>
      </c>
      <c r="FA101" s="116">
        <v>6394</v>
      </c>
      <c r="FB101" s="116">
        <v>12807</v>
      </c>
      <c r="FC101" s="160">
        <v>-1212</v>
      </c>
      <c r="FD101" s="116">
        <v>12467</v>
      </c>
      <c r="FE101" s="116">
        <v>-3739</v>
      </c>
      <c r="FF101" s="3">
        <v>68948</v>
      </c>
      <c r="FG101" s="3">
        <v>54416</v>
      </c>
      <c r="FH101" s="3">
        <v>14532</v>
      </c>
      <c r="FI101" s="3">
        <v>-1</v>
      </c>
      <c r="FJ101" s="125">
        <v>71664</v>
      </c>
      <c r="FK101" s="160">
        <v>58280</v>
      </c>
      <c r="FL101" s="125">
        <v>13384</v>
      </c>
      <c r="FM101" s="116">
        <v>20</v>
      </c>
      <c r="FN101" s="125">
        <v>71459</v>
      </c>
      <c r="FO101" s="116">
        <v>61300</v>
      </c>
      <c r="FP101" s="116">
        <v>10159</v>
      </c>
      <c r="FQ101" s="116">
        <v>-1261</v>
      </c>
      <c r="FR101" s="153">
        <v>1352</v>
      </c>
      <c r="FS101" s="153">
        <v>1053</v>
      </c>
      <c r="FT101" s="276">
        <v>1053</v>
      </c>
      <c r="FU101" s="3">
        <v>10190</v>
      </c>
      <c r="FV101" s="159">
        <v>10455</v>
      </c>
      <c r="FW101" s="170"/>
      <c r="FZ101" s="155"/>
      <c r="GA101" s="2"/>
      <c r="GD101" s="163"/>
      <c r="GE101" s="2"/>
      <c r="GF101" s="2"/>
    </row>
    <row r="102" spans="1:188" ht="14.5" x14ac:dyDescent="0.35">
      <c r="A102" s="72">
        <v>280</v>
      </c>
      <c r="B102" s="70" t="s">
        <v>98</v>
      </c>
      <c r="C102" s="158">
        <v>2122</v>
      </c>
      <c r="D102" s="171"/>
      <c r="E102" s="128">
        <v>0.36517943743937925</v>
      </c>
      <c r="F102" s="128">
        <v>29.282906720352795</v>
      </c>
      <c r="G102" s="129">
        <v>-2037.7002827521205</v>
      </c>
      <c r="H102" s="216"/>
      <c r="I102" s="172"/>
      <c r="J102" s="218"/>
      <c r="K102" s="128">
        <v>62.448278554141616</v>
      </c>
      <c r="L102" s="129">
        <v>373.70405278039584</v>
      </c>
      <c r="M102" s="129">
        <v>12.316284413429218</v>
      </c>
      <c r="N102" s="129">
        <v>11074.92931196984</v>
      </c>
      <c r="O102" s="129"/>
      <c r="P102" s="117">
        <v>7689</v>
      </c>
      <c r="Q102" s="161">
        <v>20112</v>
      </c>
      <c r="R102" s="161">
        <v>-2</v>
      </c>
      <c r="S102" s="161">
        <v>-12425</v>
      </c>
      <c r="T102" s="124">
        <v>6638</v>
      </c>
      <c r="U102" s="124">
        <v>6535</v>
      </c>
      <c r="V102" s="136"/>
      <c r="X102" s="116">
        <v>-53</v>
      </c>
      <c r="Y102" s="116">
        <v>5</v>
      </c>
      <c r="Z102" s="161">
        <v>700</v>
      </c>
      <c r="AA102" s="116">
        <v>1342</v>
      </c>
      <c r="AB102" s="116">
        <v>0</v>
      </c>
      <c r="AD102" s="161">
        <v>-642</v>
      </c>
      <c r="AE102" s="116">
        <v>0</v>
      </c>
      <c r="AF102" s="116">
        <v>0</v>
      </c>
      <c r="AG102" s="116">
        <v>0</v>
      </c>
      <c r="AH102" s="116">
        <v>0</v>
      </c>
      <c r="AI102" s="160">
        <v>-642</v>
      </c>
      <c r="AJ102" s="161">
        <v>8699</v>
      </c>
      <c r="AK102" s="161">
        <v>658</v>
      </c>
      <c r="AL102" s="150"/>
      <c r="AM102" s="161">
        <v>-101</v>
      </c>
      <c r="AN102" s="161">
        <v>-2009</v>
      </c>
      <c r="AO102" s="160">
        <v>-455</v>
      </c>
      <c r="AQ102" s="160"/>
      <c r="AR102" s="117"/>
      <c r="AS102" s="117"/>
      <c r="AT102" s="99">
        <v>21</v>
      </c>
      <c r="AU102" s="130"/>
      <c r="AV102" s="262">
        <v>203</v>
      </c>
      <c r="AW102" s="267">
        <v>2077</v>
      </c>
      <c r="AX102" s="124"/>
      <c r="AY102" s="255">
        <v>3.7669491525423728</v>
      </c>
      <c r="AZ102" s="259">
        <v>36.829761795272695</v>
      </c>
      <c r="BA102" s="160">
        <v>-2585.9412614347621</v>
      </c>
      <c r="BB102" s="130"/>
      <c r="BC102" s="130"/>
      <c r="BD102" s="130"/>
      <c r="BE102" s="128">
        <v>56.71248142644874</v>
      </c>
      <c r="BF102" s="160">
        <v>730.38035628310058</v>
      </c>
      <c r="BG102" s="129">
        <v>12.851656158422875</v>
      </c>
      <c r="BH102" s="131">
        <v>10843.524313914299</v>
      </c>
      <c r="BI102" s="124"/>
      <c r="BJ102" s="117">
        <v>7834</v>
      </c>
      <c r="BK102" s="117">
        <v>20861</v>
      </c>
      <c r="BL102" s="161">
        <v>-3</v>
      </c>
      <c r="BM102" s="161">
        <v>-13030</v>
      </c>
      <c r="BN102" s="117">
        <v>6917</v>
      </c>
      <c r="BO102" s="117">
        <v>6995</v>
      </c>
      <c r="BP102" s="136"/>
      <c r="BR102" s="160">
        <v>-46</v>
      </c>
      <c r="BS102" s="160">
        <v>7</v>
      </c>
      <c r="BT102" s="161">
        <v>843</v>
      </c>
      <c r="BU102" s="125">
        <v>1585</v>
      </c>
      <c r="BV102" s="160">
        <v>0</v>
      </c>
      <c r="BX102" s="161">
        <v>-742</v>
      </c>
      <c r="BY102" s="160">
        <v>0</v>
      </c>
      <c r="BZ102" s="160">
        <v>0</v>
      </c>
      <c r="CA102" s="160">
        <v>0</v>
      </c>
      <c r="CB102" s="160">
        <v>0</v>
      </c>
      <c r="CC102" s="160">
        <v>-742</v>
      </c>
      <c r="CD102" s="160">
        <v>7946</v>
      </c>
      <c r="CE102" s="116">
        <v>856</v>
      </c>
      <c r="CF102" s="150"/>
      <c r="CG102" s="160">
        <v>-133</v>
      </c>
      <c r="CH102" s="160">
        <v>-190</v>
      </c>
      <c r="CI102" s="159">
        <v>-472</v>
      </c>
      <c r="CK102" s="124"/>
      <c r="CL102" s="161"/>
      <c r="CM102" s="124"/>
      <c r="CN102" s="265">
        <v>21.5</v>
      </c>
      <c r="CO102" s="130"/>
      <c r="CP102" s="116">
        <v>158</v>
      </c>
      <c r="CQ102" s="267">
        <v>2068</v>
      </c>
      <c r="CR102" s="124"/>
      <c r="CS102" s="268">
        <v>3.7722772277227721</v>
      </c>
      <c r="CT102" s="269">
        <v>43.178002631698355</v>
      </c>
      <c r="CU102" s="160">
        <v>-3573.0174081237915</v>
      </c>
      <c r="CV102" s="130"/>
      <c r="CW102" s="130"/>
      <c r="CX102" s="130"/>
      <c r="CY102" s="269">
        <v>51.872686361326849</v>
      </c>
      <c r="CZ102" s="125">
        <v>550.77369439071572</v>
      </c>
      <c r="DA102" s="125">
        <v>17.114070475876833</v>
      </c>
      <c r="DB102" s="273">
        <v>11746.615087040618</v>
      </c>
      <c r="DC102" s="124"/>
      <c r="DD102" s="117">
        <v>7893</v>
      </c>
      <c r="DE102" s="117">
        <v>21306</v>
      </c>
      <c r="DF102" s="117">
        <v>-4</v>
      </c>
      <c r="DG102" s="117">
        <v>-13417</v>
      </c>
      <c r="DH102" s="117">
        <v>6606</v>
      </c>
      <c r="DI102" s="117">
        <v>7540</v>
      </c>
      <c r="DJ102" s="136"/>
      <c r="DL102" s="160">
        <v>-39</v>
      </c>
      <c r="DM102" s="160">
        <v>30</v>
      </c>
      <c r="DN102" s="161">
        <v>720</v>
      </c>
      <c r="DO102" s="116">
        <v>1725</v>
      </c>
      <c r="DP102" s="160">
        <v>51</v>
      </c>
      <c r="DR102" s="161">
        <v>-954</v>
      </c>
      <c r="DS102" s="116">
        <v>0</v>
      </c>
      <c r="DT102" s="116">
        <v>0</v>
      </c>
      <c r="DU102" s="116">
        <v>0</v>
      </c>
      <c r="DV102" s="116">
        <v>0</v>
      </c>
      <c r="DW102" s="160">
        <v>-954</v>
      </c>
      <c r="DX102" s="160">
        <v>6991</v>
      </c>
      <c r="DY102" s="116">
        <v>763</v>
      </c>
      <c r="DZ102" s="150"/>
      <c r="EA102" s="116">
        <v>139</v>
      </c>
      <c r="EB102" s="116">
        <v>-160</v>
      </c>
      <c r="EC102" s="159">
        <v>-2000</v>
      </c>
      <c r="EE102" s="125"/>
      <c r="EF102" s="161"/>
      <c r="EG102" s="124"/>
      <c r="EH102" s="253">
        <v>21.5</v>
      </c>
      <c r="EI102" s="130"/>
      <c r="EJ102" s="125">
        <v>289</v>
      </c>
      <c r="EK102" s="116"/>
      <c r="EL102" s="159"/>
      <c r="EN102" s="116"/>
      <c r="EO102" s="116"/>
      <c r="EP102" s="159"/>
      <c r="EQ102" s="159">
        <v>-1311</v>
      </c>
      <c r="ER102" s="116">
        <v>139</v>
      </c>
      <c r="ES102" s="116">
        <v>59</v>
      </c>
      <c r="ET102" s="160">
        <v>-1415</v>
      </c>
      <c r="EU102" s="116">
        <v>61</v>
      </c>
      <c r="EV102" s="116">
        <v>26</v>
      </c>
      <c r="EW102" s="160">
        <v>-2774</v>
      </c>
      <c r="EX102" s="160">
        <v>1</v>
      </c>
      <c r="EY102" s="160">
        <v>10</v>
      </c>
      <c r="EZ102" s="116">
        <v>457</v>
      </c>
      <c r="FA102" s="116">
        <v>1209</v>
      </c>
      <c r="FB102" s="116">
        <v>1055</v>
      </c>
      <c r="FC102" s="160">
        <v>598</v>
      </c>
      <c r="FD102" s="116">
        <v>1320</v>
      </c>
      <c r="FE102" s="116">
        <v>240</v>
      </c>
      <c r="FF102" s="3">
        <v>3213</v>
      </c>
      <c r="FG102" s="3">
        <v>2672</v>
      </c>
      <c r="FH102" s="3">
        <v>541</v>
      </c>
      <c r="FI102" s="3">
        <v>1</v>
      </c>
      <c r="FJ102" s="125">
        <v>5069</v>
      </c>
      <c r="FK102" s="160">
        <v>2353</v>
      </c>
      <c r="FL102" s="125">
        <v>2716</v>
      </c>
      <c r="FM102" s="116">
        <v>1</v>
      </c>
      <c r="FN102" s="125">
        <v>6441</v>
      </c>
      <c r="FO102" s="116">
        <v>3298</v>
      </c>
      <c r="FP102" s="116">
        <v>3143</v>
      </c>
      <c r="FQ102" s="116">
        <v>139</v>
      </c>
      <c r="FR102" s="153">
        <v>1250</v>
      </c>
      <c r="FS102" s="153">
        <v>998</v>
      </c>
      <c r="FT102" s="276">
        <v>967</v>
      </c>
      <c r="FU102" s="3">
        <v>28</v>
      </c>
      <c r="FV102" s="159">
        <v>31</v>
      </c>
      <c r="FW102" s="170"/>
      <c r="FZ102" s="155"/>
      <c r="GA102" s="2"/>
      <c r="GD102" s="163"/>
      <c r="GE102" s="2"/>
      <c r="GF102" s="2"/>
    </row>
    <row r="103" spans="1:188" ht="14.5" x14ac:dyDescent="0.35">
      <c r="A103" s="72">
        <v>284</v>
      </c>
      <c r="B103" s="70" t="s">
        <v>99</v>
      </c>
      <c r="C103" s="158">
        <v>2340</v>
      </c>
      <c r="D103" s="171"/>
      <c r="E103" s="128">
        <v>14.68</v>
      </c>
      <c r="F103" s="128">
        <v>25.815455113518016</v>
      </c>
      <c r="G103" s="129">
        <v>-1167.948717948718</v>
      </c>
      <c r="H103" s="216"/>
      <c r="I103" s="172"/>
      <c r="J103" s="218"/>
      <c r="K103" s="128">
        <v>63.35364238410596</v>
      </c>
      <c r="L103" s="129">
        <v>966.66666666666663</v>
      </c>
      <c r="M103" s="129">
        <v>32.693038726538369</v>
      </c>
      <c r="N103" s="129">
        <v>10792.307692307693</v>
      </c>
      <c r="O103" s="129"/>
      <c r="P103" s="117">
        <v>9779</v>
      </c>
      <c r="Q103" s="161">
        <v>23670</v>
      </c>
      <c r="R103" s="161">
        <v>14</v>
      </c>
      <c r="S103" s="161">
        <v>-13877</v>
      </c>
      <c r="T103" s="124">
        <v>6709</v>
      </c>
      <c r="U103" s="124">
        <v>7517</v>
      </c>
      <c r="V103" s="136"/>
      <c r="X103" s="116">
        <v>-25</v>
      </c>
      <c r="Y103" s="116">
        <v>18</v>
      </c>
      <c r="Z103" s="161">
        <v>342</v>
      </c>
      <c r="AA103" s="116">
        <v>1138</v>
      </c>
      <c r="AB103" s="116">
        <v>0</v>
      </c>
      <c r="AD103" s="161">
        <v>-796</v>
      </c>
      <c r="AE103" s="116">
        <v>-1</v>
      </c>
      <c r="AF103" s="116">
        <v>47</v>
      </c>
      <c r="AG103" s="116">
        <v>-1</v>
      </c>
      <c r="AH103" s="116">
        <v>0</v>
      </c>
      <c r="AI103" s="160">
        <v>-751</v>
      </c>
      <c r="AJ103" s="161">
        <v>4589</v>
      </c>
      <c r="AK103" s="161">
        <v>361</v>
      </c>
      <c r="AL103" s="150"/>
      <c r="AM103" s="161">
        <v>570</v>
      </c>
      <c r="AN103" s="161">
        <v>0</v>
      </c>
      <c r="AO103" s="160">
        <v>-1104</v>
      </c>
      <c r="AQ103" s="160"/>
      <c r="AR103" s="117"/>
      <c r="AS103" s="117"/>
      <c r="AT103" s="99">
        <v>19.5</v>
      </c>
      <c r="AU103" s="130"/>
      <c r="AV103" s="262">
        <v>262</v>
      </c>
      <c r="AW103" s="267">
        <v>2308</v>
      </c>
      <c r="AX103" s="124"/>
      <c r="AY103" s="255">
        <v>6.4532374100719423</v>
      </c>
      <c r="AZ103" s="259">
        <v>23.743662543094707</v>
      </c>
      <c r="BA103" s="160">
        <v>-1270.7972270363953</v>
      </c>
      <c r="BB103" s="130"/>
      <c r="BC103" s="130"/>
      <c r="BD103" s="130"/>
      <c r="BE103" s="128">
        <v>66.04567307692308</v>
      </c>
      <c r="BF103" s="160">
        <v>584.92201039861345</v>
      </c>
      <c r="BG103" s="129">
        <v>32.582083662194158</v>
      </c>
      <c r="BH103" s="131">
        <v>10979.202772963605</v>
      </c>
      <c r="BI103" s="124"/>
      <c r="BJ103" s="117">
        <v>10108</v>
      </c>
      <c r="BK103" s="117">
        <v>23783</v>
      </c>
      <c r="BL103" s="161">
        <v>5</v>
      </c>
      <c r="BM103" s="161">
        <v>-13670</v>
      </c>
      <c r="BN103" s="117">
        <v>6966</v>
      </c>
      <c r="BO103" s="117">
        <v>7581</v>
      </c>
      <c r="BP103" s="136"/>
      <c r="BR103" s="160">
        <v>-24</v>
      </c>
      <c r="BS103" s="160">
        <v>20</v>
      </c>
      <c r="BT103" s="161">
        <v>873</v>
      </c>
      <c r="BU103" s="125">
        <v>1147</v>
      </c>
      <c r="BV103" s="160">
        <v>0</v>
      </c>
      <c r="BX103" s="161">
        <v>-274</v>
      </c>
      <c r="BY103" s="160">
        <v>0</v>
      </c>
      <c r="BZ103" s="160">
        <v>75</v>
      </c>
      <c r="CA103" s="160">
        <v>0</v>
      </c>
      <c r="CB103" s="160">
        <v>0</v>
      </c>
      <c r="CC103" s="160">
        <v>-199</v>
      </c>
      <c r="CD103" s="160">
        <v>4358</v>
      </c>
      <c r="CE103" s="116">
        <v>840</v>
      </c>
      <c r="CF103" s="150"/>
      <c r="CG103" s="160">
        <v>-347</v>
      </c>
      <c r="CH103" s="160">
        <v>-115</v>
      </c>
      <c r="CI103" s="159">
        <v>-463</v>
      </c>
      <c r="CK103" s="124"/>
      <c r="CL103" s="161"/>
      <c r="CM103" s="124"/>
      <c r="CN103" s="265">
        <v>19.5</v>
      </c>
      <c r="CO103" s="130"/>
      <c r="CP103" s="116">
        <v>169</v>
      </c>
      <c r="CQ103" s="267">
        <v>2292</v>
      </c>
      <c r="CR103" s="124"/>
      <c r="CS103" s="268">
        <v>95.884615384615387</v>
      </c>
      <c r="CT103" s="269">
        <v>25.477609659177748</v>
      </c>
      <c r="CU103" s="160">
        <v>-952.00698080279233</v>
      </c>
      <c r="CV103" s="130"/>
      <c r="CW103" s="130"/>
      <c r="CX103" s="130"/>
      <c r="CY103" s="269">
        <v>65.754094353458811</v>
      </c>
      <c r="CZ103" s="125">
        <v>1343.8045375218151</v>
      </c>
      <c r="DA103" s="125">
        <v>43.160440741736096</v>
      </c>
      <c r="DB103" s="273">
        <v>11364.310645724257</v>
      </c>
      <c r="DC103" s="124"/>
      <c r="DD103" s="117">
        <v>10152</v>
      </c>
      <c r="DE103" s="117">
        <v>23730</v>
      </c>
      <c r="DF103" s="117">
        <v>24</v>
      </c>
      <c r="DG103" s="117">
        <v>-13554</v>
      </c>
      <c r="DH103" s="117">
        <v>7535</v>
      </c>
      <c r="DI103" s="117">
        <v>8485</v>
      </c>
      <c r="DJ103" s="136"/>
      <c r="DL103" s="160">
        <v>-26</v>
      </c>
      <c r="DM103" s="160">
        <v>27</v>
      </c>
      <c r="DN103" s="161">
        <v>2467</v>
      </c>
      <c r="DO103" s="116">
        <v>1124</v>
      </c>
      <c r="DP103" s="160">
        <v>0</v>
      </c>
      <c r="DR103" s="161">
        <v>1343</v>
      </c>
      <c r="DS103" s="116">
        <v>-2</v>
      </c>
      <c r="DT103" s="116">
        <v>1</v>
      </c>
      <c r="DU103" s="116">
        <v>0</v>
      </c>
      <c r="DV103" s="116">
        <v>0</v>
      </c>
      <c r="DW103" s="160">
        <v>1342</v>
      </c>
      <c r="DX103" s="160">
        <v>5717</v>
      </c>
      <c r="DY103" s="116">
        <v>2468</v>
      </c>
      <c r="DZ103" s="150"/>
      <c r="EA103" s="116">
        <v>162</v>
      </c>
      <c r="EB103" s="116">
        <v>0</v>
      </c>
      <c r="EC103" s="159">
        <v>591</v>
      </c>
      <c r="EE103" s="125"/>
      <c r="EF103" s="161"/>
      <c r="EG103" s="124"/>
      <c r="EH103" s="253">
        <v>20</v>
      </c>
      <c r="EI103" s="130"/>
      <c r="EJ103" s="125">
        <v>109</v>
      </c>
      <c r="EK103" s="116"/>
      <c r="EL103" s="159"/>
      <c r="EN103" s="116"/>
      <c r="EO103" s="116"/>
      <c r="EP103" s="159"/>
      <c r="EQ103" s="159">
        <v>-1553</v>
      </c>
      <c r="ER103" s="116">
        <v>63</v>
      </c>
      <c r="ES103" s="116">
        <v>25</v>
      </c>
      <c r="ET103" s="160">
        <v>-1415</v>
      </c>
      <c r="EU103" s="116">
        <v>56</v>
      </c>
      <c r="EV103" s="116">
        <v>56</v>
      </c>
      <c r="EW103" s="160">
        <v>-2285</v>
      </c>
      <c r="EX103" s="160">
        <v>317</v>
      </c>
      <c r="EY103" s="160">
        <v>91</v>
      </c>
      <c r="EZ103" s="116">
        <v>87</v>
      </c>
      <c r="FA103" s="116">
        <v>224</v>
      </c>
      <c r="FB103" s="116">
        <v>0</v>
      </c>
      <c r="FC103" s="160">
        <v>224</v>
      </c>
      <c r="FD103" s="116">
        <v>209</v>
      </c>
      <c r="FE103" s="116">
        <v>429</v>
      </c>
      <c r="FF103" s="3">
        <v>1443</v>
      </c>
      <c r="FG103" s="3">
        <v>1354</v>
      </c>
      <c r="FH103" s="3">
        <v>89</v>
      </c>
      <c r="FI103" s="3">
        <v>11</v>
      </c>
      <c r="FJ103" s="125">
        <v>1362</v>
      </c>
      <c r="FK103" s="160">
        <v>1201</v>
      </c>
      <c r="FL103" s="125">
        <v>161</v>
      </c>
      <c r="FM103" s="116">
        <v>11</v>
      </c>
      <c r="FN103" s="125">
        <v>1704</v>
      </c>
      <c r="FO103" s="116">
        <v>1324</v>
      </c>
      <c r="FP103" s="116">
        <v>380</v>
      </c>
      <c r="FQ103" s="116">
        <v>162</v>
      </c>
      <c r="FR103" s="153">
        <v>154</v>
      </c>
      <c r="FS103" s="153">
        <v>152</v>
      </c>
      <c r="FT103" s="276">
        <v>152</v>
      </c>
      <c r="FU103" s="3">
        <v>75</v>
      </c>
      <c r="FV103" s="159">
        <v>1061</v>
      </c>
      <c r="FW103" s="170"/>
      <c r="FZ103" s="155"/>
      <c r="GA103" s="2"/>
      <c r="GD103" s="163"/>
      <c r="GE103" s="2"/>
      <c r="GF103" s="2"/>
    </row>
    <row r="104" spans="1:188" ht="14.5" x14ac:dyDescent="0.35">
      <c r="A104" s="72">
        <v>285</v>
      </c>
      <c r="B104" s="70" t="s">
        <v>100</v>
      </c>
      <c r="C104" s="158">
        <v>52883</v>
      </c>
      <c r="D104" s="171"/>
      <c r="E104" s="128">
        <v>0.80388592448431839</v>
      </c>
      <c r="F104" s="128">
        <v>105.62198542836447</v>
      </c>
      <c r="G104" s="129">
        <v>-9272.2424975890171</v>
      </c>
      <c r="H104" s="216"/>
      <c r="I104" s="172"/>
      <c r="J104" s="218"/>
      <c r="K104" s="128">
        <v>31.772689062491377</v>
      </c>
      <c r="L104" s="129">
        <v>2460.7340733316946</v>
      </c>
      <c r="M104" s="129">
        <v>61.885597581790464</v>
      </c>
      <c r="N104" s="129">
        <v>14513.359680804795</v>
      </c>
      <c r="O104" s="129"/>
      <c r="P104" s="117">
        <v>299862</v>
      </c>
      <c r="Q104" s="161">
        <v>561357</v>
      </c>
      <c r="R104" s="161">
        <v>304</v>
      </c>
      <c r="S104" s="161">
        <v>-261191</v>
      </c>
      <c r="T104" s="124">
        <v>211083</v>
      </c>
      <c r="U104" s="124">
        <v>128242</v>
      </c>
      <c r="V104" s="136"/>
      <c r="X104" s="116">
        <v>-5292</v>
      </c>
      <c r="Y104" s="116">
        <v>-3108</v>
      </c>
      <c r="Z104" s="161">
        <v>69734</v>
      </c>
      <c r="AA104" s="116">
        <v>59107</v>
      </c>
      <c r="AB104" s="117">
        <v>8402</v>
      </c>
      <c r="AD104" s="161">
        <v>19029</v>
      </c>
      <c r="AE104" s="117">
        <v>-3087</v>
      </c>
      <c r="AF104" s="117">
        <v>0</v>
      </c>
      <c r="AG104" s="116">
        <v>-3403</v>
      </c>
      <c r="AH104" s="116">
        <v>-93</v>
      </c>
      <c r="AI104" s="160">
        <v>12446</v>
      </c>
      <c r="AJ104" s="161">
        <v>28173</v>
      </c>
      <c r="AK104" s="161">
        <v>63929</v>
      </c>
      <c r="AL104" s="150"/>
      <c r="AM104" s="161">
        <v>-3707</v>
      </c>
      <c r="AN104" s="161">
        <v>-88074</v>
      </c>
      <c r="AO104" s="160">
        <v>-17811</v>
      </c>
      <c r="AQ104" s="160"/>
      <c r="AR104" s="117"/>
      <c r="AS104" s="117"/>
      <c r="AT104" s="99">
        <v>21.5</v>
      </c>
      <c r="AU104" s="130"/>
      <c r="AV104" s="262">
        <v>7</v>
      </c>
      <c r="AW104" s="267">
        <v>52126</v>
      </c>
      <c r="AX104" s="124"/>
      <c r="AY104" s="255">
        <v>1.8740667796454908</v>
      </c>
      <c r="AZ104" s="259">
        <v>88.598296522399792</v>
      </c>
      <c r="BA104" s="160">
        <v>-9808.099604803745</v>
      </c>
      <c r="BB104" s="130"/>
      <c r="BC104" s="130"/>
      <c r="BD104" s="130"/>
      <c r="BE104" s="128">
        <v>38.263904878565441</v>
      </c>
      <c r="BF104" s="160">
        <v>1800.0422054253156</v>
      </c>
      <c r="BG104" s="129">
        <v>58.60650154913364</v>
      </c>
      <c r="BH104" s="131">
        <v>15547.960710585889</v>
      </c>
      <c r="BI104" s="124"/>
      <c r="BJ104" s="117">
        <v>404715</v>
      </c>
      <c r="BK104" s="117">
        <v>665464</v>
      </c>
      <c r="BL104" s="161">
        <v>97</v>
      </c>
      <c r="BM104" s="161">
        <v>-260652</v>
      </c>
      <c r="BN104" s="117">
        <v>216663</v>
      </c>
      <c r="BO104" s="117">
        <v>128852</v>
      </c>
      <c r="BP104" s="136"/>
      <c r="BR104" s="160">
        <v>-4515</v>
      </c>
      <c r="BS104" s="160">
        <v>-3162</v>
      </c>
      <c r="BT104" s="161">
        <v>77186</v>
      </c>
      <c r="BU104" s="125">
        <v>62966</v>
      </c>
      <c r="BV104" s="161">
        <v>568</v>
      </c>
      <c r="BW104" s="117"/>
      <c r="BX104" s="161">
        <v>14788</v>
      </c>
      <c r="BY104" s="161">
        <v>-4320</v>
      </c>
      <c r="BZ104" s="160">
        <v>0</v>
      </c>
      <c r="CA104" s="160">
        <v>3551</v>
      </c>
      <c r="CB104" s="160">
        <v>-194</v>
      </c>
      <c r="CC104" s="160">
        <v>6723</v>
      </c>
      <c r="CD104" s="160">
        <v>50093</v>
      </c>
      <c r="CE104" s="116">
        <v>70794</v>
      </c>
      <c r="CF104" s="150"/>
      <c r="CG104" s="161">
        <v>-4957</v>
      </c>
      <c r="CH104" s="160">
        <v>-39019</v>
      </c>
      <c r="CI104" s="159">
        <v>-10927</v>
      </c>
      <c r="CK104" s="124"/>
      <c r="CL104" s="161"/>
      <c r="CM104" s="124"/>
      <c r="CN104" s="265">
        <v>21.5</v>
      </c>
      <c r="CO104" s="130"/>
      <c r="CP104" s="116">
        <v>5</v>
      </c>
      <c r="CQ104" s="267">
        <v>51668</v>
      </c>
      <c r="CR104" s="124"/>
      <c r="CS104" s="268">
        <v>3.7336239821287021</v>
      </c>
      <c r="CT104" s="269">
        <v>81.816084535117767</v>
      </c>
      <c r="CU104" s="160">
        <v>-9431.4856390802815</v>
      </c>
      <c r="CV104" s="130"/>
      <c r="CW104" s="130"/>
      <c r="CX104" s="130"/>
      <c r="CY104" s="269">
        <v>40.16626431329081</v>
      </c>
      <c r="CZ104" s="125">
        <v>1823.8368042115044</v>
      </c>
      <c r="DA104" s="125">
        <v>45.13845180696012</v>
      </c>
      <c r="DB104" s="273">
        <v>14747.9677943795</v>
      </c>
      <c r="DC104" s="124"/>
      <c r="DD104" s="117">
        <v>395201</v>
      </c>
      <c r="DE104" s="117">
        <v>667341</v>
      </c>
      <c r="DF104" s="117">
        <v>420</v>
      </c>
      <c r="DG104" s="117">
        <v>-271720</v>
      </c>
      <c r="DH104" s="117">
        <v>223210</v>
      </c>
      <c r="DI104" s="117">
        <v>153150</v>
      </c>
      <c r="DJ104" s="136"/>
      <c r="DL104" s="160">
        <v>-6198</v>
      </c>
      <c r="DM104" s="160">
        <v>-1152</v>
      </c>
      <c r="DN104" s="161">
        <v>97290</v>
      </c>
      <c r="DO104" s="116">
        <v>81822</v>
      </c>
      <c r="DP104" s="161">
        <v>0</v>
      </c>
      <c r="DQ104" s="117"/>
      <c r="DR104" s="161">
        <v>15468</v>
      </c>
      <c r="DS104" s="117">
        <v>-3567</v>
      </c>
      <c r="DT104" s="116">
        <v>0</v>
      </c>
      <c r="DU104" s="116">
        <v>2975</v>
      </c>
      <c r="DV104" s="116">
        <v>40</v>
      </c>
      <c r="DW104" s="160">
        <v>8966</v>
      </c>
      <c r="DX104" s="160">
        <v>59060</v>
      </c>
      <c r="DY104" s="116">
        <v>90005</v>
      </c>
      <c r="DZ104" s="150"/>
      <c r="EA104" s="117">
        <v>9884</v>
      </c>
      <c r="EB104" s="116">
        <v>-21421</v>
      </c>
      <c r="EC104" s="159">
        <v>31978</v>
      </c>
      <c r="EE104" s="125"/>
      <c r="EF104" s="161"/>
      <c r="EG104" s="124"/>
      <c r="EH104" s="253">
        <v>21.5</v>
      </c>
      <c r="EI104" s="130"/>
      <c r="EJ104" s="125">
        <v>7</v>
      </c>
      <c r="EK104" s="116"/>
      <c r="EL104" s="159"/>
      <c r="EN104" s="116"/>
      <c r="EO104" s="116"/>
      <c r="EP104" s="159"/>
      <c r="EQ104" s="159">
        <v>-109379</v>
      </c>
      <c r="ER104" s="116">
        <v>458</v>
      </c>
      <c r="ES104" s="116">
        <v>27181</v>
      </c>
      <c r="ET104" s="160">
        <v>-97812</v>
      </c>
      <c r="EU104" s="116">
        <v>2009</v>
      </c>
      <c r="EV104" s="116">
        <v>14082</v>
      </c>
      <c r="EW104" s="160">
        <v>-65503</v>
      </c>
      <c r="EX104" s="160">
        <v>835</v>
      </c>
      <c r="EY104" s="160">
        <v>6641</v>
      </c>
      <c r="EZ104" s="116">
        <v>19232</v>
      </c>
      <c r="FA104" s="116">
        <v>65661</v>
      </c>
      <c r="FB104" s="116">
        <v>37302</v>
      </c>
      <c r="FC104" s="160">
        <v>-10056</v>
      </c>
      <c r="FD104" s="116">
        <v>24058</v>
      </c>
      <c r="FE104" s="116">
        <v>-39021</v>
      </c>
      <c r="FF104" s="3">
        <v>557126</v>
      </c>
      <c r="FG104" s="3">
        <v>328021</v>
      </c>
      <c r="FH104" s="3">
        <v>229105</v>
      </c>
      <c r="FI104" s="3">
        <v>1069</v>
      </c>
      <c r="FJ104" s="125">
        <v>545353</v>
      </c>
      <c r="FK104" s="160">
        <v>321569</v>
      </c>
      <c r="FL104" s="125">
        <v>223784</v>
      </c>
      <c r="FM104" s="116">
        <v>935</v>
      </c>
      <c r="FN104" s="125">
        <v>508970</v>
      </c>
      <c r="FO104" s="116">
        <v>275230</v>
      </c>
      <c r="FP104" s="116">
        <v>233740</v>
      </c>
      <c r="FQ104" s="116">
        <v>9884</v>
      </c>
      <c r="FR104" s="153">
        <v>198</v>
      </c>
      <c r="FS104" s="153">
        <v>277</v>
      </c>
      <c r="FT104" s="276">
        <v>220</v>
      </c>
      <c r="FU104" s="3">
        <v>184402</v>
      </c>
      <c r="FV104" s="159">
        <v>178949</v>
      </c>
      <c r="FW104" s="170"/>
      <c r="FZ104" s="155"/>
      <c r="GA104" s="2"/>
      <c r="GD104" s="163"/>
      <c r="GE104" s="2"/>
      <c r="GF104" s="2"/>
    </row>
    <row r="105" spans="1:188" ht="14.5" x14ac:dyDescent="0.35">
      <c r="A105" s="72">
        <v>286</v>
      </c>
      <c r="B105" s="70" t="s">
        <v>101</v>
      </c>
      <c r="C105" s="158">
        <v>83177</v>
      </c>
      <c r="D105" s="171"/>
      <c r="E105" s="128">
        <v>0.58640364871713058</v>
      </c>
      <c r="F105" s="128">
        <v>67.652246160123795</v>
      </c>
      <c r="G105" s="129">
        <v>-4874.5927359726847</v>
      </c>
      <c r="H105" s="216"/>
      <c r="I105" s="172"/>
      <c r="J105" s="218"/>
      <c r="K105" s="128">
        <v>37.910487405374298</v>
      </c>
      <c r="L105" s="129">
        <v>875.66274330644285</v>
      </c>
      <c r="M105" s="129">
        <v>29.003682085969889</v>
      </c>
      <c r="N105" s="129">
        <v>11019.873282277553</v>
      </c>
      <c r="O105" s="129"/>
      <c r="P105" s="117">
        <v>313098</v>
      </c>
      <c r="Q105" s="161">
        <v>787091</v>
      </c>
      <c r="R105" s="161">
        <v>4371</v>
      </c>
      <c r="S105" s="161">
        <v>-469622</v>
      </c>
      <c r="T105" s="124">
        <v>329566</v>
      </c>
      <c r="U105" s="124">
        <v>170969</v>
      </c>
      <c r="V105" s="136"/>
      <c r="X105" s="116">
        <v>-4539</v>
      </c>
      <c r="Y105" s="116">
        <v>-35</v>
      </c>
      <c r="Z105" s="161">
        <v>26339</v>
      </c>
      <c r="AA105" s="116">
        <v>42700</v>
      </c>
      <c r="AB105" s="116">
        <v>0</v>
      </c>
      <c r="AD105" s="161">
        <v>-16361</v>
      </c>
      <c r="AE105" s="117">
        <v>-37</v>
      </c>
      <c r="AF105" s="117">
        <v>5</v>
      </c>
      <c r="AG105" s="116">
        <v>-2328</v>
      </c>
      <c r="AH105" s="116">
        <v>-101</v>
      </c>
      <c r="AI105" s="160">
        <v>-18822</v>
      </c>
      <c r="AJ105" s="161">
        <v>51931</v>
      </c>
      <c r="AK105" s="161">
        <v>18909</v>
      </c>
      <c r="AL105" s="150"/>
      <c r="AM105" s="161">
        <v>-3461</v>
      </c>
      <c r="AN105" s="161">
        <v>-48375</v>
      </c>
      <c r="AO105" s="160">
        <v>-47303</v>
      </c>
      <c r="AQ105" s="160"/>
      <c r="AR105" s="117"/>
      <c r="AS105" s="117"/>
      <c r="AT105" s="99">
        <v>20.75</v>
      </c>
      <c r="AU105" s="130"/>
      <c r="AV105" s="262">
        <v>209</v>
      </c>
      <c r="AW105" s="267">
        <v>82113</v>
      </c>
      <c r="AX105" s="124"/>
      <c r="AY105" s="255">
        <v>0.798516717325228</v>
      </c>
      <c r="AZ105" s="259">
        <v>69.021667365032556</v>
      </c>
      <c r="BA105" s="160">
        <v>-5719.6302656095868</v>
      </c>
      <c r="BB105" s="130"/>
      <c r="BC105" s="130"/>
      <c r="BD105" s="130"/>
      <c r="BE105" s="128">
        <v>32.974093056779047</v>
      </c>
      <c r="BF105" s="160">
        <v>1268.4958532753644</v>
      </c>
      <c r="BG105" s="129">
        <v>24.618199379006803</v>
      </c>
      <c r="BH105" s="131">
        <v>13151.181907858681</v>
      </c>
      <c r="BI105" s="124"/>
      <c r="BJ105" s="117">
        <v>452012</v>
      </c>
      <c r="BK105" s="117">
        <v>937026</v>
      </c>
      <c r="BL105" s="161">
        <v>4946</v>
      </c>
      <c r="BM105" s="161">
        <v>-480068</v>
      </c>
      <c r="BN105" s="117">
        <v>336516</v>
      </c>
      <c r="BO105" s="117">
        <v>173241</v>
      </c>
      <c r="BP105" s="136"/>
      <c r="BR105" s="160">
        <v>-4666</v>
      </c>
      <c r="BS105" s="160">
        <v>2772</v>
      </c>
      <c r="BT105" s="161">
        <v>27795</v>
      </c>
      <c r="BU105" s="125">
        <v>40721</v>
      </c>
      <c r="BV105" s="160">
        <v>0</v>
      </c>
      <c r="BX105" s="161">
        <v>-12926</v>
      </c>
      <c r="BY105" s="161">
        <v>-100</v>
      </c>
      <c r="BZ105" s="161">
        <v>92</v>
      </c>
      <c r="CA105" s="160">
        <v>2944</v>
      </c>
      <c r="CB105" s="160">
        <v>131</v>
      </c>
      <c r="CC105" s="160">
        <v>-15747</v>
      </c>
      <c r="CD105" s="160">
        <v>40119</v>
      </c>
      <c r="CE105" s="116">
        <v>19386</v>
      </c>
      <c r="CF105" s="150"/>
      <c r="CG105" s="161">
        <v>-17745</v>
      </c>
      <c r="CH105" s="160">
        <v>-36081</v>
      </c>
      <c r="CI105" s="159">
        <v>-60893</v>
      </c>
      <c r="CK105" s="124"/>
      <c r="CL105" s="161"/>
      <c r="CM105" s="124"/>
      <c r="CN105" s="265">
        <v>20.75</v>
      </c>
      <c r="CO105" s="130"/>
      <c r="CP105" s="116">
        <v>189</v>
      </c>
      <c r="CQ105" s="267">
        <v>81187</v>
      </c>
      <c r="CR105" s="124"/>
      <c r="CS105" s="268">
        <v>1.8323465322562895</v>
      </c>
      <c r="CT105" s="269">
        <v>64.075216273295212</v>
      </c>
      <c r="CU105" s="160">
        <v>-6018.7345264635969</v>
      </c>
      <c r="CV105" s="130"/>
      <c r="CW105" s="130"/>
      <c r="CX105" s="130"/>
      <c r="CY105" s="269">
        <v>35.225947994707859</v>
      </c>
      <c r="CZ105" s="125">
        <v>940.39686156650691</v>
      </c>
      <c r="DA105" s="125">
        <v>25.340842129767715</v>
      </c>
      <c r="DB105" s="273">
        <v>13545.124219394731</v>
      </c>
      <c r="DC105" s="124"/>
      <c r="DD105" s="117">
        <v>450343</v>
      </c>
      <c r="DE105" s="117">
        <v>942895</v>
      </c>
      <c r="DF105" s="117">
        <v>5986</v>
      </c>
      <c r="DG105" s="117">
        <v>-486566</v>
      </c>
      <c r="DH105" s="117">
        <v>353191</v>
      </c>
      <c r="DI105" s="117">
        <v>214969</v>
      </c>
      <c r="DJ105" s="136"/>
      <c r="DL105" s="160">
        <v>-4779</v>
      </c>
      <c r="DM105" s="160">
        <v>1288</v>
      </c>
      <c r="DN105" s="161">
        <v>78103</v>
      </c>
      <c r="DO105" s="116">
        <v>45810</v>
      </c>
      <c r="DP105" s="160">
        <v>0</v>
      </c>
      <c r="DR105" s="161">
        <v>32293</v>
      </c>
      <c r="DS105" s="117">
        <v>-103</v>
      </c>
      <c r="DT105" s="117">
        <v>0</v>
      </c>
      <c r="DU105" s="116">
        <v>3304</v>
      </c>
      <c r="DV105" s="116">
        <v>-13</v>
      </c>
      <c r="DW105" s="160">
        <v>28873</v>
      </c>
      <c r="DX105" s="160">
        <v>68991</v>
      </c>
      <c r="DY105" s="116">
        <v>70237</v>
      </c>
      <c r="DZ105" s="150"/>
      <c r="EA105" s="117">
        <v>2565</v>
      </c>
      <c r="EB105" s="116">
        <v>-40287</v>
      </c>
      <c r="EC105" s="159">
        <v>-18369</v>
      </c>
      <c r="EE105" s="125"/>
      <c r="EF105" s="161"/>
      <c r="EG105" s="124"/>
      <c r="EH105" s="253">
        <v>21.25</v>
      </c>
      <c r="EI105" s="130"/>
      <c r="EJ105" s="125">
        <v>146</v>
      </c>
      <c r="EK105" s="116"/>
      <c r="EL105" s="159"/>
      <c r="EN105" s="116"/>
      <c r="EO105" s="116"/>
      <c r="EP105" s="159"/>
      <c r="EQ105" s="159">
        <v>-74197</v>
      </c>
      <c r="ER105" s="116">
        <v>1102</v>
      </c>
      <c r="ES105" s="116">
        <v>6883</v>
      </c>
      <c r="ET105" s="160">
        <v>-101600</v>
      </c>
      <c r="EU105" s="116">
        <v>5655</v>
      </c>
      <c r="EV105" s="116">
        <v>15666</v>
      </c>
      <c r="EW105" s="160">
        <v>-110372</v>
      </c>
      <c r="EX105" s="160">
        <v>2311</v>
      </c>
      <c r="EY105" s="160">
        <v>19455</v>
      </c>
      <c r="EZ105" s="116">
        <v>67854</v>
      </c>
      <c r="FA105" s="116">
        <v>7441</v>
      </c>
      <c r="FB105" s="116">
        <v>113461</v>
      </c>
      <c r="FC105" s="160">
        <v>38064</v>
      </c>
      <c r="FD105" s="116">
        <v>71105</v>
      </c>
      <c r="FE105" s="116">
        <v>-37907</v>
      </c>
      <c r="FF105" s="3">
        <v>367644</v>
      </c>
      <c r="FG105" s="3">
        <v>324031</v>
      </c>
      <c r="FH105" s="3">
        <v>43613</v>
      </c>
      <c r="FI105" s="3">
        <v>5419</v>
      </c>
      <c r="FJ105" s="125">
        <v>489089</v>
      </c>
      <c r="FK105" s="160">
        <v>399608</v>
      </c>
      <c r="FL105" s="125">
        <v>89481</v>
      </c>
      <c r="FM105" s="116">
        <v>5421</v>
      </c>
      <c r="FN105" s="125">
        <v>482000</v>
      </c>
      <c r="FO105" s="116">
        <v>426644</v>
      </c>
      <c r="FP105" s="116">
        <v>55356</v>
      </c>
      <c r="FQ105" s="116">
        <v>2565</v>
      </c>
      <c r="FR105" s="153">
        <v>12449</v>
      </c>
      <c r="FS105" s="153">
        <v>10779</v>
      </c>
      <c r="FT105" s="276">
        <v>9766</v>
      </c>
      <c r="FU105" s="3">
        <v>20470</v>
      </c>
      <c r="FV105" s="159">
        <v>42111</v>
      </c>
      <c r="FW105" s="170"/>
      <c r="FZ105" s="155"/>
      <c r="GA105" s="2"/>
      <c r="GD105" s="163"/>
      <c r="GE105" s="2"/>
      <c r="GF105" s="2"/>
    </row>
    <row r="106" spans="1:188" ht="14.5" x14ac:dyDescent="0.35">
      <c r="A106" s="72">
        <v>287</v>
      </c>
      <c r="B106" s="70" t="s">
        <v>367</v>
      </c>
      <c r="C106" s="158">
        <v>6596</v>
      </c>
      <c r="D106" s="171"/>
      <c r="E106" s="128">
        <v>0.56532031365586621</v>
      </c>
      <c r="F106" s="128">
        <v>72.867739804192439</v>
      </c>
      <c r="G106" s="129">
        <v>-5430.2607640994547</v>
      </c>
      <c r="H106" s="216"/>
      <c r="I106" s="172"/>
      <c r="J106" s="218"/>
      <c r="K106" s="128">
        <v>34.690724995132079</v>
      </c>
      <c r="L106" s="129">
        <v>1073.2261976955731</v>
      </c>
      <c r="M106" s="129">
        <v>32.94237266526423</v>
      </c>
      <c r="N106" s="129">
        <v>11891.297756215889</v>
      </c>
      <c r="O106" s="129"/>
      <c r="P106" s="117">
        <v>22922</v>
      </c>
      <c r="Q106" s="161">
        <v>62871</v>
      </c>
      <c r="R106" s="161">
        <v>0</v>
      </c>
      <c r="S106" s="161">
        <v>-39949</v>
      </c>
      <c r="T106" s="124">
        <v>23469</v>
      </c>
      <c r="U106" s="124">
        <v>20205</v>
      </c>
      <c r="V106" s="136"/>
      <c r="X106" s="116">
        <v>-484</v>
      </c>
      <c r="Y106" s="116">
        <v>95</v>
      </c>
      <c r="Z106" s="161">
        <v>3336</v>
      </c>
      <c r="AA106" s="116">
        <v>3313</v>
      </c>
      <c r="AB106" s="116">
        <v>0</v>
      </c>
      <c r="AD106" s="161">
        <v>23</v>
      </c>
      <c r="AE106" s="117">
        <v>0</v>
      </c>
      <c r="AF106" s="117">
        <v>20</v>
      </c>
      <c r="AG106" s="116">
        <v>0</v>
      </c>
      <c r="AH106" s="117">
        <v>-3</v>
      </c>
      <c r="AI106" s="160">
        <v>40</v>
      </c>
      <c r="AJ106" s="161">
        <v>10681</v>
      </c>
      <c r="AK106" s="161">
        <v>2764</v>
      </c>
      <c r="AL106" s="150"/>
      <c r="AM106" s="161">
        <v>-2044</v>
      </c>
      <c r="AN106" s="161">
        <v>-6274</v>
      </c>
      <c r="AO106" s="160">
        <v>-4090</v>
      </c>
      <c r="AQ106" s="160"/>
      <c r="AR106" s="117"/>
      <c r="AS106" s="117"/>
      <c r="AT106" s="99">
        <v>21.5</v>
      </c>
      <c r="AU106" s="130"/>
      <c r="AV106" s="262">
        <v>140</v>
      </c>
      <c r="AW106" s="267">
        <v>6486</v>
      </c>
      <c r="AX106" s="124"/>
      <c r="AY106" s="255">
        <v>0.33557560006115272</v>
      </c>
      <c r="AZ106" s="259">
        <v>72.034676771156271</v>
      </c>
      <c r="BA106" s="160">
        <v>-6333.6416897934014</v>
      </c>
      <c r="BB106" s="130"/>
      <c r="BC106" s="130"/>
      <c r="BD106" s="130"/>
      <c r="BE106" s="128">
        <v>31.022932895294073</v>
      </c>
      <c r="BF106" s="160">
        <v>671.44619179771814</v>
      </c>
      <c r="BG106" s="129">
        <v>29.773004739790302</v>
      </c>
      <c r="BH106" s="131">
        <v>12881.282762873881</v>
      </c>
      <c r="BI106" s="124"/>
      <c r="BJ106" s="117">
        <v>24309</v>
      </c>
      <c r="BK106" s="117">
        <v>67543</v>
      </c>
      <c r="BL106" s="161">
        <v>-5</v>
      </c>
      <c r="BM106" s="161">
        <v>-43239</v>
      </c>
      <c r="BN106" s="117">
        <v>24649</v>
      </c>
      <c r="BO106" s="117">
        <v>20714</v>
      </c>
      <c r="BP106" s="136"/>
      <c r="BR106" s="160">
        <v>-466</v>
      </c>
      <c r="BS106" s="160">
        <v>70</v>
      </c>
      <c r="BT106" s="161">
        <v>1728</v>
      </c>
      <c r="BU106" s="125">
        <v>3931</v>
      </c>
      <c r="BV106" s="160">
        <v>-6</v>
      </c>
      <c r="BX106" s="161">
        <v>-2209</v>
      </c>
      <c r="BY106" s="161">
        <v>-2</v>
      </c>
      <c r="BZ106" s="160">
        <v>5</v>
      </c>
      <c r="CA106" s="161">
        <v>11</v>
      </c>
      <c r="CB106" s="161">
        <v>-16</v>
      </c>
      <c r="CC106" s="160">
        <v>-2233</v>
      </c>
      <c r="CD106" s="160">
        <v>8569</v>
      </c>
      <c r="CE106" s="116">
        <v>2953</v>
      </c>
      <c r="CF106" s="150"/>
      <c r="CG106" s="160">
        <v>1264</v>
      </c>
      <c r="CH106" s="160">
        <v>-6074</v>
      </c>
      <c r="CI106" s="159">
        <v>-5081</v>
      </c>
      <c r="CK106" s="124"/>
      <c r="CL106" s="161"/>
      <c r="CM106" s="124"/>
      <c r="CN106" s="265">
        <v>21.5</v>
      </c>
      <c r="CO106" s="130"/>
      <c r="CP106" s="116">
        <v>220</v>
      </c>
      <c r="CQ106" s="267">
        <v>6404</v>
      </c>
      <c r="CR106" s="124"/>
      <c r="CS106" s="268">
        <v>0.83336061548534945</v>
      </c>
      <c r="CT106" s="269">
        <v>76.161287233023657</v>
      </c>
      <c r="CU106" s="160">
        <v>-6702.3735165521548</v>
      </c>
      <c r="CV106" s="130"/>
      <c r="CW106" s="130"/>
      <c r="CX106" s="130"/>
      <c r="CY106" s="269">
        <v>29.211240333241697</v>
      </c>
      <c r="CZ106" s="125">
        <v>1230.949406620862</v>
      </c>
      <c r="DA106" s="125">
        <v>35.249304764354932</v>
      </c>
      <c r="DB106" s="273">
        <v>12746.252342286072</v>
      </c>
      <c r="DC106" s="124"/>
      <c r="DD106" s="117">
        <v>24967</v>
      </c>
      <c r="DE106" s="117">
        <v>67872</v>
      </c>
      <c r="DF106" s="117">
        <v>-8</v>
      </c>
      <c r="DG106" s="117">
        <v>-42913</v>
      </c>
      <c r="DH106" s="117">
        <v>25118</v>
      </c>
      <c r="DI106" s="117">
        <v>23002</v>
      </c>
      <c r="DJ106" s="136"/>
      <c r="DL106" s="160">
        <v>-417</v>
      </c>
      <c r="DM106" s="160">
        <v>-118</v>
      </c>
      <c r="DN106" s="161">
        <v>4672</v>
      </c>
      <c r="DO106" s="116">
        <v>4510</v>
      </c>
      <c r="DP106" s="160">
        <v>127</v>
      </c>
      <c r="DR106" s="161">
        <v>289</v>
      </c>
      <c r="DS106" s="117">
        <v>2</v>
      </c>
      <c r="DT106" s="116">
        <v>0</v>
      </c>
      <c r="DU106" s="117">
        <v>3</v>
      </c>
      <c r="DV106" s="117">
        <v>-26</v>
      </c>
      <c r="DW106" s="160">
        <v>262</v>
      </c>
      <c r="DX106" s="160">
        <v>8445</v>
      </c>
      <c r="DY106" s="116">
        <v>3876</v>
      </c>
      <c r="DZ106" s="150"/>
      <c r="EA106" s="116">
        <v>552</v>
      </c>
      <c r="EB106" s="116">
        <v>-5690</v>
      </c>
      <c r="EC106" s="159">
        <v>-1770</v>
      </c>
      <c r="EE106" s="125"/>
      <c r="EF106" s="161"/>
      <c r="EG106" s="124"/>
      <c r="EH106" s="253">
        <v>21.5</v>
      </c>
      <c r="EI106" s="130"/>
      <c r="EJ106" s="125">
        <v>247</v>
      </c>
      <c r="EK106" s="116"/>
      <c r="EL106" s="159"/>
      <c r="EN106" s="116"/>
      <c r="EO106" s="116"/>
      <c r="EP106" s="159"/>
      <c r="EQ106" s="159">
        <v>-8776</v>
      </c>
      <c r="ER106" s="116">
        <v>1303</v>
      </c>
      <c r="ES106" s="116">
        <v>619</v>
      </c>
      <c r="ET106" s="160">
        <v>-9406</v>
      </c>
      <c r="EU106" s="116">
        <v>697</v>
      </c>
      <c r="EV106" s="116">
        <v>675</v>
      </c>
      <c r="EW106" s="160">
        <v>-7398</v>
      </c>
      <c r="EX106" s="160">
        <v>62</v>
      </c>
      <c r="EY106" s="160">
        <v>1690</v>
      </c>
      <c r="EZ106" s="116">
        <v>15621</v>
      </c>
      <c r="FA106" s="116">
        <v>92</v>
      </c>
      <c r="FB106" s="116">
        <v>4919</v>
      </c>
      <c r="FC106" s="160">
        <v>2050</v>
      </c>
      <c r="FD106" s="116">
        <v>10844</v>
      </c>
      <c r="FE106" s="116">
        <v>-1042</v>
      </c>
      <c r="FF106" s="3">
        <v>37013</v>
      </c>
      <c r="FG106" s="3">
        <v>32071</v>
      </c>
      <c r="FH106" s="3">
        <v>4942</v>
      </c>
      <c r="FI106" s="3">
        <v>3</v>
      </c>
      <c r="FJ106" s="125">
        <v>38045</v>
      </c>
      <c r="FK106" s="160">
        <v>30402</v>
      </c>
      <c r="FL106" s="125">
        <v>7643</v>
      </c>
      <c r="FM106" s="116">
        <v>3</v>
      </c>
      <c r="FN106" s="125">
        <v>42179</v>
      </c>
      <c r="FO106" s="116">
        <v>35579</v>
      </c>
      <c r="FP106" s="116">
        <v>6600</v>
      </c>
      <c r="FQ106" s="116">
        <v>552</v>
      </c>
      <c r="FR106" s="153">
        <v>1100</v>
      </c>
      <c r="FS106" s="153">
        <v>1100</v>
      </c>
      <c r="FT106" s="276">
        <v>714</v>
      </c>
      <c r="FU106" s="3">
        <v>779</v>
      </c>
      <c r="FV106" s="159">
        <v>902</v>
      </c>
      <c r="FW106" s="170"/>
      <c r="FZ106" s="155"/>
      <c r="GA106" s="2"/>
      <c r="GD106" s="163"/>
      <c r="GE106" s="2"/>
      <c r="GF106" s="2"/>
    </row>
    <row r="107" spans="1:188" ht="14.5" x14ac:dyDescent="0.35">
      <c r="A107" s="72">
        <v>288</v>
      </c>
      <c r="B107" s="70" t="s">
        <v>102</v>
      </c>
      <c r="C107" s="158">
        <v>6509</v>
      </c>
      <c r="D107" s="171"/>
      <c r="E107" s="128">
        <v>0.87030974565600605</v>
      </c>
      <c r="F107" s="128">
        <v>53.00239592692423</v>
      </c>
      <c r="G107" s="129">
        <v>-4422.1846673836226</v>
      </c>
      <c r="H107" s="216"/>
      <c r="I107" s="172"/>
      <c r="J107" s="218"/>
      <c r="K107" s="128">
        <v>29.259332023575638</v>
      </c>
      <c r="L107" s="129">
        <v>580.88800122906753</v>
      </c>
      <c r="M107" s="129">
        <v>19.599855138328696</v>
      </c>
      <c r="N107" s="129">
        <v>10817.637117836843</v>
      </c>
      <c r="O107" s="129"/>
      <c r="P107" s="117">
        <v>26832</v>
      </c>
      <c r="Q107" s="161">
        <v>63498</v>
      </c>
      <c r="R107" s="161">
        <v>24</v>
      </c>
      <c r="S107" s="161">
        <v>-36642</v>
      </c>
      <c r="T107" s="124">
        <v>23584</v>
      </c>
      <c r="U107" s="124">
        <v>16364</v>
      </c>
      <c r="V107" s="136"/>
      <c r="X107" s="116">
        <v>-346</v>
      </c>
      <c r="Y107" s="116">
        <v>144</v>
      </c>
      <c r="Z107" s="161">
        <v>3104</v>
      </c>
      <c r="AA107" s="116">
        <v>2821</v>
      </c>
      <c r="AB107" s="116">
        <v>-2</v>
      </c>
      <c r="AD107" s="161">
        <v>281</v>
      </c>
      <c r="AE107" s="116">
        <v>0</v>
      </c>
      <c r="AF107" s="116">
        <v>-81</v>
      </c>
      <c r="AG107" s="116">
        <v>-12</v>
      </c>
      <c r="AH107" s="116">
        <v>-55</v>
      </c>
      <c r="AI107" s="160">
        <v>133</v>
      </c>
      <c r="AJ107" s="161">
        <v>8720</v>
      </c>
      <c r="AK107" s="161">
        <v>3133</v>
      </c>
      <c r="AL107" s="150"/>
      <c r="AM107" s="161">
        <v>1143</v>
      </c>
      <c r="AN107" s="161">
        <v>-3619</v>
      </c>
      <c r="AO107" s="160">
        <v>321</v>
      </c>
      <c r="AQ107" s="160"/>
      <c r="AR107" s="117"/>
      <c r="AS107" s="117"/>
      <c r="AT107" s="99">
        <v>22</v>
      </c>
      <c r="AU107" s="130"/>
      <c r="AV107" s="262">
        <v>154</v>
      </c>
      <c r="AW107" s="267">
        <v>6428</v>
      </c>
      <c r="AX107" s="124"/>
      <c r="AY107" s="255">
        <v>0.76445635186425542</v>
      </c>
      <c r="AZ107" s="259">
        <v>59.261142686209993</v>
      </c>
      <c r="BA107" s="160">
        <v>-4898.8799004355942</v>
      </c>
      <c r="BB107" s="130"/>
      <c r="BC107" s="130"/>
      <c r="BD107" s="130"/>
      <c r="BE107" s="128">
        <v>27.780182519929301</v>
      </c>
      <c r="BF107" s="160">
        <v>727.75357809583079</v>
      </c>
      <c r="BG107" s="129">
        <v>18.546767907539309</v>
      </c>
      <c r="BH107" s="131">
        <v>11575.917859365276</v>
      </c>
      <c r="BI107" s="124"/>
      <c r="BJ107" s="117">
        <v>26781</v>
      </c>
      <c r="BK107" s="117">
        <v>63636</v>
      </c>
      <c r="BL107" s="161">
        <v>16</v>
      </c>
      <c r="BM107" s="161">
        <v>-36839</v>
      </c>
      <c r="BN107" s="117">
        <v>24129</v>
      </c>
      <c r="BO107" s="117">
        <v>15950</v>
      </c>
      <c r="BP107" s="136"/>
      <c r="BR107" s="160">
        <v>-307</v>
      </c>
      <c r="BS107" s="160">
        <v>175</v>
      </c>
      <c r="BT107" s="161">
        <v>3108</v>
      </c>
      <c r="BU107" s="125">
        <v>2537</v>
      </c>
      <c r="BV107" s="160">
        <v>0</v>
      </c>
      <c r="BX107" s="161">
        <v>571</v>
      </c>
      <c r="BY107" s="160">
        <v>0</v>
      </c>
      <c r="BZ107" s="160">
        <v>-20</v>
      </c>
      <c r="CA107" s="160">
        <v>48</v>
      </c>
      <c r="CB107" s="160">
        <v>-27</v>
      </c>
      <c r="CC107" s="160">
        <v>476</v>
      </c>
      <c r="CD107" s="160">
        <v>9174</v>
      </c>
      <c r="CE107" s="116">
        <v>2438</v>
      </c>
      <c r="CF107" s="150"/>
      <c r="CG107" s="160">
        <v>-624</v>
      </c>
      <c r="CH107" s="160">
        <v>-4163</v>
      </c>
      <c r="CI107" s="159">
        <v>-2623</v>
      </c>
      <c r="CK107" s="124"/>
      <c r="CL107" s="161"/>
      <c r="CM107" s="124"/>
      <c r="CN107" s="265">
        <v>22</v>
      </c>
      <c r="CO107" s="130"/>
      <c r="CP107" s="116">
        <v>126</v>
      </c>
      <c r="CQ107" s="267">
        <v>6416</v>
      </c>
      <c r="CR107" s="124"/>
      <c r="CS107" s="268">
        <v>1.142725087816602</v>
      </c>
      <c r="CT107" s="269">
        <v>59.80580006627001</v>
      </c>
      <c r="CU107" s="160">
        <v>-4980.9850374064836</v>
      </c>
      <c r="CV107" s="130"/>
      <c r="CW107" s="130"/>
      <c r="CX107" s="130"/>
      <c r="CY107" s="269">
        <v>30.272544357051398</v>
      </c>
      <c r="CZ107" s="125">
        <v>933.29177057356605</v>
      </c>
      <c r="DA107" s="125">
        <v>28.935578679799825</v>
      </c>
      <c r="DB107" s="273">
        <v>11772.755610972568</v>
      </c>
      <c r="DC107" s="124"/>
      <c r="DD107" s="117">
        <v>25987</v>
      </c>
      <c r="DE107" s="117">
        <v>63402</v>
      </c>
      <c r="DF107" s="117">
        <v>-3</v>
      </c>
      <c r="DG107" s="117">
        <v>-37418</v>
      </c>
      <c r="DH107" s="117">
        <v>24590</v>
      </c>
      <c r="DI107" s="117">
        <v>18836</v>
      </c>
      <c r="DJ107" s="136"/>
      <c r="DL107" s="160">
        <v>-275</v>
      </c>
      <c r="DM107" s="160">
        <v>165</v>
      </c>
      <c r="DN107" s="161">
        <v>5898</v>
      </c>
      <c r="DO107" s="116">
        <v>2859</v>
      </c>
      <c r="DP107" s="160">
        <v>0</v>
      </c>
      <c r="DR107" s="161">
        <v>3039</v>
      </c>
      <c r="DS107" s="116">
        <v>0</v>
      </c>
      <c r="DT107" s="116">
        <v>-13</v>
      </c>
      <c r="DU107" s="116">
        <v>0</v>
      </c>
      <c r="DV107" s="116">
        <v>38</v>
      </c>
      <c r="DW107" s="160">
        <v>3064</v>
      </c>
      <c r="DX107" s="160">
        <v>12003</v>
      </c>
      <c r="DY107" s="116">
        <v>5881</v>
      </c>
      <c r="DZ107" s="150"/>
      <c r="EA107" s="116">
        <v>-76</v>
      </c>
      <c r="EB107" s="116">
        <v>-5126</v>
      </c>
      <c r="EC107" s="159">
        <v>-534</v>
      </c>
      <c r="EE107" s="125"/>
      <c r="EF107" s="161"/>
      <c r="EG107" s="124"/>
      <c r="EH107" s="253">
        <v>22</v>
      </c>
      <c r="EI107" s="130"/>
      <c r="EJ107" s="125">
        <v>177</v>
      </c>
      <c r="EK107" s="116"/>
      <c r="EL107" s="159"/>
      <c r="EN107" s="116"/>
      <c r="EO107" s="116"/>
      <c r="EP107" s="159"/>
      <c r="EQ107" s="159">
        <v>-2928</v>
      </c>
      <c r="ER107" s="116">
        <v>67</v>
      </c>
      <c r="ES107" s="116">
        <v>49</v>
      </c>
      <c r="ET107" s="160">
        <v>-6239</v>
      </c>
      <c r="EU107" s="116">
        <v>260</v>
      </c>
      <c r="EV107" s="116">
        <v>918</v>
      </c>
      <c r="EW107" s="160">
        <v>-6719</v>
      </c>
      <c r="EX107" s="160">
        <v>152</v>
      </c>
      <c r="EY107" s="160">
        <v>152</v>
      </c>
      <c r="EZ107" s="116">
        <v>4572</v>
      </c>
      <c r="FA107" s="116">
        <v>-1738</v>
      </c>
      <c r="FB107" s="116">
        <v>6844</v>
      </c>
      <c r="FC107" s="160">
        <v>656</v>
      </c>
      <c r="FD107" s="116">
        <v>7362</v>
      </c>
      <c r="FE107" s="116">
        <v>-764</v>
      </c>
      <c r="FF107" s="3">
        <v>25266</v>
      </c>
      <c r="FG107" s="3">
        <v>18590</v>
      </c>
      <c r="FH107" s="3">
        <v>6676</v>
      </c>
      <c r="FI107" s="3">
        <v>9</v>
      </c>
      <c r="FJ107" s="125">
        <v>28618</v>
      </c>
      <c r="FK107" s="160">
        <v>20871</v>
      </c>
      <c r="FL107" s="125">
        <v>7747</v>
      </c>
      <c r="FM107" s="116">
        <v>9</v>
      </c>
      <c r="FN107" s="125">
        <v>30091</v>
      </c>
      <c r="FO107" s="116">
        <v>23108</v>
      </c>
      <c r="FP107" s="116">
        <v>6983</v>
      </c>
      <c r="FQ107" s="116">
        <v>-76</v>
      </c>
      <c r="FR107" s="153">
        <v>6418</v>
      </c>
      <c r="FS107" s="153">
        <v>6274</v>
      </c>
      <c r="FT107" s="276">
        <v>6099</v>
      </c>
      <c r="FU107" s="3">
        <v>87</v>
      </c>
      <c r="FV107" s="159">
        <v>969</v>
      </c>
      <c r="FW107" s="170"/>
      <c r="FZ107" s="155"/>
      <c r="GA107" s="2"/>
      <c r="GD107" s="163"/>
      <c r="GE107" s="2"/>
      <c r="GF107" s="2"/>
    </row>
    <row r="108" spans="1:188" ht="14.5" x14ac:dyDescent="0.35">
      <c r="A108" s="72">
        <v>290</v>
      </c>
      <c r="B108" s="70" t="s">
        <v>103</v>
      </c>
      <c r="C108" s="158">
        <v>8329</v>
      </c>
      <c r="D108" s="171"/>
      <c r="E108" s="128">
        <v>0.62800740283775447</v>
      </c>
      <c r="F108" s="128">
        <v>65.109723461195358</v>
      </c>
      <c r="G108" s="129">
        <v>-4252.7314203385758</v>
      </c>
      <c r="H108" s="216"/>
      <c r="I108" s="172"/>
      <c r="J108" s="218"/>
      <c r="K108" s="128">
        <v>34.655673782301236</v>
      </c>
      <c r="L108" s="129">
        <v>3589.8667306999637</v>
      </c>
      <c r="M108" s="129">
        <v>86.093733976002468</v>
      </c>
      <c r="N108" s="129">
        <v>15219.474126545803</v>
      </c>
      <c r="O108" s="129"/>
      <c r="P108" s="117">
        <v>52066</v>
      </c>
      <c r="Q108" s="161">
        <v>108580</v>
      </c>
      <c r="R108" s="161">
        <v>0</v>
      </c>
      <c r="S108" s="161">
        <v>-56514</v>
      </c>
      <c r="T108" s="124">
        <v>27788</v>
      </c>
      <c r="U108" s="124">
        <v>32246</v>
      </c>
      <c r="V108" s="136"/>
      <c r="X108" s="116">
        <v>-223</v>
      </c>
      <c r="Y108" s="116">
        <v>-487</v>
      </c>
      <c r="Z108" s="161">
        <v>2810</v>
      </c>
      <c r="AA108" s="116">
        <v>4882</v>
      </c>
      <c r="AB108" s="116">
        <v>-3</v>
      </c>
      <c r="AD108" s="161">
        <v>-2075</v>
      </c>
      <c r="AE108" s="117">
        <v>-238</v>
      </c>
      <c r="AF108" s="117">
        <v>12</v>
      </c>
      <c r="AG108" s="116">
        <v>0</v>
      </c>
      <c r="AH108" s="116">
        <v>-135</v>
      </c>
      <c r="AI108" s="160">
        <v>-2436</v>
      </c>
      <c r="AJ108" s="161">
        <v>6201</v>
      </c>
      <c r="AK108" s="161">
        <v>3271</v>
      </c>
      <c r="AL108" s="150"/>
      <c r="AM108" s="161">
        <v>-2107</v>
      </c>
      <c r="AN108" s="161">
        <v>-4619</v>
      </c>
      <c r="AO108" s="160">
        <v>-8198</v>
      </c>
      <c r="AQ108" s="160"/>
      <c r="AR108" s="117"/>
      <c r="AS108" s="117"/>
      <c r="AT108" s="99">
        <v>21.5</v>
      </c>
      <c r="AU108" s="130"/>
      <c r="AV108" s="262">
        <v>199</v>
      </c>
      <c r="AW108" s="267">
        <v>8190</v>
      </c>
      <c r="AX108" s="124"/>
      <c r="AY108" s="255">
        <v>1.2512797685288226</v>
      </c>
      <c r="AZ108" s="259">
        <v>70.524157603850952</v>
      </c>
      <c r="BA108" s="160">
        <v>-4785.7142857142853</v>
      </c>
      <c r="BB108" s="130"/>
      <c r="BC108" s="130"/>
      <c r="BD108" s="130"/>
      <c r="BE108" s="128">
        <v>35.529300193622319</v>
      </c>
      <c r="BF108" s="160">
        <v>4015.3846153846152</v>
      </c>
      <c r="BG108" s="129">
        <v>88.38416560034986</v>
      </c>
      <c r="BH108" s="131">
        <v>15076.678876678876</v>
      </c>
      <c r="BI108" s="124"/>
      <c r="BJ108" s="117">
        <v>51830</v>
      </c>
      <c r="BK108" s="117">
        <v>107746</v>
      </c>
      <c r="BL108" s="161">
        <v>0</v>
      </c>
      <c r="BM108" s="161">
        <v>-55916</v>
      </c>
      <c r="BN108" s="117">
        <v>28258</v>
      </c>
      <c r="BO108" s="117">
        <v>32092</v>
      </c>
      <c r="BP108" s="136"/>
      <c r="BR108" s="160">
        <v>-266</v>
      </c>
      <c r="BS108" s="160">
        <v>1173</v>
      </c>
      <c r="BT108" s="161">
        <v>5341</v>
      </c>
      <c r="BU108" s="125">
        <v>5515</v>
      </c>
      <c r="BV108" s="160">
        <v>0</v>
      </c>
      <c r="BX108" s="161">
        <v>-174</v>
      </c>
      <c r="BY108" s="161">
        <v>-200</v>
      </c>
      <c r="BZ108" s="161">
        <v>16</v>
      </c>
      <c r="CA108" s="160">
        <v>0</v>
      </c>
      <c r="CB108" s="160">
        <v>-161</v>
      </c>
      <c r="CC108" s="160">
        <v>-519</v>
      </c>
      <c r="CD108" s="160">
        <v>5639</v>
      </c>
      <c r="CE108" s="116">
        <v>4791</v>
      </c>
      <c r="CF108" s="150"/>
      <c r="CG108" s="161">
        <v>1343</v>
      </c>
      <c r="CH108" s="160">
        <v>-4212</v>
      </c>
      <c r="CI108" s="159">
        <v>-4398</v>
      </c>
      <c r="CK108" s="124"/>
      <c r="CL108" s="161"/>
      <c r="CM108" s="124"/>
      <c r="CN108" s="265">
        <v>21.5</v>
      </c>
      <c r="CO108" s="130"/>
      <c r="CP108" s="116">
        <v>70</v>
      </c>
      <c r="CQ108" s="267">
        <v>8042</v>
      </c>
      <c r="CR108" s="124"/>
      <c r="CS108" s="268">
        <v>1.3304365400161682</v>
      </c>
      <c r="CT108" s="269">
        <v>69.183640791835572</v>
      </c>
      <c r="CU108" s="160">
        <v>-4757.025615518527</v>
      </c>
      <c r="CV108" s="130"/>
      <c r="CW108" s="130"/>
      <c r="CX108" s="130"/>
      <c r="CY108" s="269">
        <v>34.330670839886267</v>
      </c>
      <c r="CZ108" s="125">
        <v>4416.3143496642624</v>
      </c>
      <c r="DA108" s="125">
        <v>104.56414599717685</v>
      </c>
      <c r="DB108" s="273">
        <v>15415.941308132305</v>
      </c>
      <c r="DC108" s="124"/>
      <c r="DD108" s="117">
        <v>54750</v>
      </c>
      <c r="DE108" s="117">
        <v>112148</v>
      </c>
      <c r="DF108" s="117">
        <v>0</v>
      </c>
      <c r="DG108" s="117">
        <v>-57398</v>
      </c>
      <c r="DH108" s="117">
        <v>28886</v>
      </c>
      <c r="DI108" s="117">
        <v>35025</v>
      </c>
      <c r="DJ108" s="136"/>
      <c r="DL108" s="160">
        <v>-242</v>
      </c>
      <c r="DM108" s="160">
        <v>33</v>
      </c>
      <c r="DN108" s="161">
        <v>6304</v>
      </c>
      <c r="DO108" s="116">
        <v>6474</v>
      </c>
      <c r="DP108" s="160">
        <v>0</v>
      </c>
      <c r="DR108" s="161">
        <v>-170</v>
      </c>
      <c r="DS108" s="117">
        <v>-150</v>
      </c>
      <c r="DT108" s="117">
        <v>2</v>
      </c>
      <c r="DU108" s="116">
        <v>59</v>
      </c>
      <c r="DV108" s="116">
        <v>-416</v>
      </c>
      <c r="DW108" s="160">
        <v>-793</v>
      </c>
      <c r="DX108" s="160">
        <v>4846</v>
      </c>
      <c r="DY108" s="116">
        <v>6531</v>
      </c>
      <c r="DZ108" s="150"/>
      <c r="EA108" s="117">
        <v>-1288</v>
      </c>
      <c r="EB108" s="116">
        <v>-4669</v>
      </c>
      <c r="EC108" s="159">
        <v>1183</v>
      </c>
      <c r="EE108" s="125"/>
      <c r="EF108" s="161"/>
      <c r="EG108" s="124"/>
      <c r="EH108" s="253">
        <v>22</v>
      </c>
      <c r="EI108" s="130"/>
      <c r="EJ108" s="125">
        <v>228</v>
      </c>
      <c r="EK108" s="116"/>
      <c r="EL108" s="159"/>
      <c r="EN108" s="116"/>
      <c r="EO108" s="116"/>
      <c r="EP108" s="159"/>
      <c r="EQ108" s="159">
        <v>-11986</v>
      </c>
      <c r="ER108" s="116">
        <v>348</v>
      </c>
      <c r="ES108" s="116">
        <v>169</v>
      </c>
      <c r="ET108" s="160">
        <v>-10252</v>
      </c>
      <c r="EU108" s="116">
        <v>276</v>
      </c>
      <c r="EV108" s="116">
        <v>787</v>
      </c>
      <c r="EW108" s="160">
        <v>-5621</v>
      </c>
      <c r="EX108" s="160">
        <v>41</v>
      </c>
      <c r="EY108" s="160">
        <v>232</v>
      </c>
      <c r="EZ108" s="116">
        <v>13979</v>
      </c>
      <c r="FA108" s="116">
        <v>-4266</v>
      </c>
      <c r="FB108" s="116">
        <v>12467</v>
      </c>
      <c r="FC108" s="160">
        <v>-1468</v>
      </c>
      <c r="FD108" s="116">
        <v>2943</v>
      </c>
      <c r="FE108" s="116">
        <v>2998</v>
      </c>
      <c r="FF108" s="3">
        <v>55585</v>
      </c>
      <c r="FG108" s="3">
        <v>49804</v>
      </c>
      <c r="FH108" s="3">
        <v>5781</v>
      </c>
      <c r="FI108" s="3">
        <v>50</v>
      </c>
      <c r="FJ108" s="125">
        <v>62329</v>
      </c>
      <c r="FK108" s="160">
        <v>57596</v>
      </c>
      <c r="FL108" s="125">
        <v>4733</v>
      </c>
      <c r="FM108" s="116">
        <v>0</v>
      </c>
      <c r="FN108" s="125">
        <v>63601</v>
      </c>
      <c r="FO108" s="116">
        <v>56225</v>
      </c>
      <c r="FP108" s="116">
        <v>7376</v>
      </c>
      <c r="FQ108" s="116">
        <v>-1288</v>
      </c>
      <c r="FR108" s="153">
        <v>695</v>
      </c>
      <c r="FS108" s="153">
        <v>552</v>
      </c>
      <c r="FT108" s="276">
        <v>432</v>
      </c>
      <c r="FU108" s="3">
        <v>818</v>
      </c>
      <c r="FV108" s="159">
        <v>1789</v>
      </c>
      <c r="FW108" s="170"/>
      <c r="FZ108" s="155"/>
      <c r="GA108" s="2"/>
      <c r="GD108" s="163"/>
      <c r="GE108" s="2"/>
      <c r="GF108" s="2"/>
    </row>
    <row r="109" spans="1:188" ht="14.5" x14ac:dyDescent="0.35">
      <c r="A109" s="72">
        <v>291</v>
      </c>
      <c r="B109" s="70" t="s">
        <v>104</v>
      </c>
      <c r="C109" s="158">
        <v>2238</v>
      </c>
      <c r="D109" s="171"/>
      <c r="E109" s="128">
        <v>3.9722222222222223</v>
      </c>
      <c r="F109" s="128">
        <v>46.646873908487599</v>
      </c>
      <c r="G109" s="129">
        <v>-2273.4584450402149</v>
      </c>
      <c r="H109" s="216"/>
      <c r="I109" s="172"/>
      <c r="J109" s="218"/>
      <c r="K109" s="128">
        <v>62.337705242987873</v>
      </c>
      <c r="L109" s="129">
        <v>2117.0688114387849</v>
      </c>
      <c r="M109" s="129">
        <v>71.320108874958763</v>
      </c>
      <c r="N109" s="129">
        <v>10834.673815907059</v>
      </c>
      <c r="O109" s="129"/>
      <c r="P109" s="117">
        <v>5042</v>
      </c>
      <c r="Q109" s="161">
        <v>21400</v>
      </c>
      <c r="R109" s="161">
        <v>0</v>
      </c>
      <c r="S109" s="161">
        <v>-16358</v>
      </c>
      <c r="T109" s="124">
        <v>8040</v>
      </c>
      <c r="U109" s="124">
        <v>9822</v>
      </c>
      <c r="V109" s="136"/>
      <c r="X109" s="116">
        <v>49</v>
      </c>
      <c r="Y109" s="116">
        <v>-16</v>
      </c>
      <c r="Z109" s="161">
        <v>1537</v>
      </c>
      <c r="AA109" s="116">
        <v>1576</v>
      </c>
      <c r="AB109" s="117">
        <v>0</v>
      </c>
      <c r="AD109" s="161">
        <v>-39</v>
      </c>
      <c r="AE109" s="117">
        <v>19</v>
      </c>
      <c r="AF109" s="117">
        <v>47</v>
      </c>
      <c r="AG109" s="116">
        <v>-3</v>
      </c>
      <c r="AH109" s="116">
        <v>-8</v>
      </c>
      <c r="AI109" s="160">
        <v>16</v>
      </c>
      <c r="AJ109" s="161">
        <v>5504</v>
      </c>
      <c r="AK109" s="161">
        <v>1546</v>
      </c>
      <c r="AL109" s="150"/>
      <c r="AM109" s="161">
        <v>673</v>
      </c>
      <c r="AN109" s="161">
        <v>-360</v>
      </c>
      <c r="AO109" s="160">
        <v>-678</v>
      </c>
      <c r="AQ109" s="160"/>
      <c r="AR109" s="117"/>
      <c r="AS109" s="117"/>
      <c r="AT109" s="99">
        <v>20.75</v>
      </c>
      <c r="AU109" s="130"/>
      <c r="AV109" s="262">
        <v>79</v>
      </c>
      <c r="AW109" s="267">
        <v>2206</v>
      </c>
      <c r="AX109" s="124"/>
      <c r="AY109" s="255">
        <v>2.9151785714285716</v>
      </c>
      <c r="AZ109" s="259">
        <v>49.09696650885499</v>
      </c>
      <c r="BA109" s="160">
        <v>-2562.5566636446056</v>
      </c>
      <c r="BB109" s="130"/>
      <c r="BC109" s="130"/>
      <c r="BD109" s="130"/>
      <c r="BE109" s="128">
        <v>60.820809628728334</v>
      </c>
      <c r="BF109" s="160">
        <v>1843.6083408884861</v>
      </c>
      <c r="BG109" s="129">
        <v>71.850751848467226</v>
      </c>
      <c r="BH109" s="131">
        <v>10912.964641885766</v>
      </c>
      <c r="BI109" s="124"/>
      <c r="BJ109" s="117">
        <v>5279</v>
      </c>
      <c r="BK109" s="117">
        <v>21729</v>
      </c>
      <c r="BL109" s="161">
        <v>2</v>
      </c>
      <c r="BM109" s="161">
        <v>-16448</v>
      </c>
      <c r="BN109" s="117">
        <v>8139</v>
      </c>
      <c r="BO109" s="117">
        <v>9394</v>
      </c>
      <c r="BP109" s="136"/>
      <c r="BR109" s="160">
        <v>47</v>
      </c>
      <c r="BS109" s="160">
        <v>156</v>
      </c>
      <c r="BT109" s="161">
        <v>1288</v>
      </c>
      <c r="BU109" s="125">
        <v>1677</v>
      </c>
      <c r="BV109" s="161">
        <v>-5</v>
      </c>
      <c r="BX109" s="161">
        <v>-394</v>
      </c>
      <c r="BY109" s="161">
        <v>-4</v>
      </c>
      <c r="BZ109" s="160">
        <v>47</v>
      </c>
      <c r="CA109" s="160">
        <v>3</v>
      </c>
      <c r="CB109" s="160">
        <v>-11</v>
      </c>
      <c r="CC109" s="160">
        <v>-365</v>
      </c>
      <c r="CD109" s="160">
        <v>5122</v>
      </c>
      <c r="CE109" s="116">
        <v>1255</v>
      </c>
      <c r="CF109" s="150"/>
      <c r="CG109" s="161">
        <v>-681</v>
      </c>
      <c r="CH109" s="160">
        <v>-430</v>
      </c>
      <c r="CI109" s="159">
        <v>-589</v>
      </c>
      <c r="CK109" s="124"/>
      <c r="CL109" s="161"/>
      <c r="CM109" s="124"/>
      <c r="CN109" s="265">
        <v>20.75</v>
      </c>
      <c r="CO109" s="130"/>
      <c r="CP109" s="116">
        <v>95</v>
      </c>
      <c r="CQ109" s="267">
        <v>2161</v>
      </c>
      <c r="CR109" s="124"/>
      <c r="CS109" s="268">
        <v>6.2524752475247523</v>
      </c>
      <c r="CT109" s="269">
        <v>45.345641025641022</v>
      </c>
      <c r="CU109" s="160">
        <v>-1935.6779268857013</v>
      </c>
      <c r="CV109" s="130"/>
      <c r="CW109" s="130"/>
      <c r="CX109" s="130"/>
      <c r="CY109" s="269">
        <v>61.550529480977907</v>
      </c>
      <c r="CZ109" s="125">
        <v>2644.1462285978714</v>
      </c>
      <c r="DA109" s="125">
        <v>86.296342270771262</v>
      </c>
      <c r="DB109" s="273">
        <v>11183.711244794078</v>
      </c>
      <c r="DC109" s="124"/>
      <c r="DD109" s="117">
        <v>5135</v>
      </c>
      <c r="DE109" s="117">
        <v>21876</v>
      </c>
      <c r="DF109" s="117">
        <v>4</v>
      </c>
      <c r="DG109" s="117">
        <v>-16737</v>
      </c>
      <c r="DH109" s="117">
        <v>8757</v>
      </c>
      <c r="DI109" s="117">
        <v>10483</v>
      </c>
      <c r="DJ109" s="136"/>
      <c r="DL109" s="160">
        <v>21</v>
      </c>
      <c r="DM109" s="160">
        <v>-25</v>
      </c>
      <c r="DN109" s="161">
        <v>2499</v>
      </c>
      <c r="DO109" s="116">
        <v>2146</v>
      </c>
      <c r="DP109" s="161">
        <v>3</v>
      </c>
      <c r="DR109" s="161">
        <v>356</v>
      </c>
      <c r="DS109" s="117">
        <v>-8</v>
      </c>
      <c r="DT109" s="116">
        <v>44</v>
      </c>
      <c r="DU109" s="116">
        <v>0</v>
      </c>
      <c r="DV109" s="116">
        <v>-19</v>
      </c>
      <c r="DW109" s="160">
        <v>373</v>
      </c>
      <c r="DX109" s="160">
        <v>5452</v>
      </c>
      <c r="DY109" s="116">
        <v>2351</v>
      </c>
      <c r="DZ109" s="150"/>
      <c r="EA109" s="117">
        <v>-374</v>
      </c>
      <c r="EB109" s="116">
        <v>-377</v>
      </c>
      <c r="EC109" s="159">
        <v>1502</v>
      </c>
      <c r="EE109" s="125"/>
      <c r="EF109" s="161"/>
      <c r="EG109" s="124"/>
      <c r="EH109" s="253">
        <v>21.75</v>
      </c>
      <c r="EI109" s="130"/>
      <c r="EJ109" s="125">
        <v>92</v>
      </c>
      <c r="EK109" s="116"/>
      <c r="EL109" s="159"/>
      <c r="EN109" s="116"/>
      <c r="EO109" s="116"/>
      <c r="EP109" s="159"/>
      <c r="EQ109" s="159">
        <v>-2326</v>
      </c>
      <c r="ER109" s="116">
        <v>14</v>
      </c>
      <c r="ES109" s="116">
        <v>88</v>
      </c>
      <c r="ET109" s="160">
        <v>-1855</v>
      </c>
      <c r="EU109" s="116">
        <v>3</v>
      </c>
      <c r="EV109" s="116">
        <v>8</v>
      </c>
      <c r="EW109" s="160">
        <v>-1534</v>
      </c>
      <c r="EX109" s="160">
        <v>12</v>
      </c>
      <c r="EY109" s="160">
        <v>673</v>
      </c>
      <c r="EZ109" s="116">
        <v>176</v>
      </c>
      <c r="FA109" s="116">
        <v>-314</v>
      </c>
      <c r="FB109" s="116">
        <v>141</v>
      </c>
      <c r="FC109" s="160">
        <v>2071</v>
      </c>
      <c r="FD109" s="116">
        <v>155</v>
      </c>
      <c r="FE109" s="116">
        <v>1409</v>
      </c>
      <c r="FF109" s="3">
        <v>7167</v>
      </c>
      <c r="FG109" s="3">
        <v>4991</v>
      </c>
      <c r="FH109" s="3">
        <v>2176</v>
      </c>
      <c r="FI109" s="3">
        <v>56</v>
      </c>
      <c r="FJ109" s="125">
        <v>8310</v>
      </c>
      <c r="FK109" s="160">
        <v>4690</v>
      </c>
      <c r="FL109" s="125">
        <v>3620</v>
      </c>
      <c r="FM109" s="116">
        <v>52</v>
      </c>
      <c r="FN109" s="125">
        <v>8690</v>
      </c>
      <c r="FO109" s="116">
        <v>4457</v>
      </c>
      <c r="FP109" s="116">
        <v>4233</v>
      </c>
      <c r="FQ109" s="116">
        <v>-374</v>
      </c>
      <c r="FR109" s="153">
        <v>318</v>
      </c>
      <c r="FS109" s="153">
        <v>318</v>
      </c>
      <c r="FT109" s="276">
        <v>316</v>
      </c>
      <c r="FU109" s="3">
        <v>18</v>
      </c>
      <c r="FV109" s="159">
        <v>8</v>
      </c>
      <c r="FW109" s="170"/>
      <c r="FZ109" s="155"/>
      <c r="GA109" s="2"/>
      <c r="GD109" s="163"/>
      <c r="GE109" s="2"/>
      <c r="GF109" s="2"/>
    </row>
    <row r="110" spans="1:188" ht="14.5" x14ac:dyDescent="0.35">
      <c r="A110" s="72">
        <v>297</v>
      </c>
      <c r="B110" s="70" t="s">
        <v>105</v>
      </c>
      <c r="C110" s="158">
        <v>118664</v>
      </c>
      <c r="D110" s="171"/>
      <c r="E110" s="128">
        <v>1.254984134032731</v>
      </c>
      <c r="F110" s="128">
        <v>90.333459187316265</v>
      </c>
      <c r="G110" s="129">
        <v>-8121.7218364457631</v>
      </c>
      <c r="H110" s="216"/>
      <c r="I110" s="172"/>
      <c r="J110" s="218"/>
      <c r="K110" s="128">
        <v>25.924948685351254</v>
      </c>
      <c r="L110" s="129">
        <v>1449.3443672891526</v>
      </c>
      <c r="M110" s="129">
        <v>39.713569838841714</v>
      </c>
      <c r="N110" s="129">
        <v>13320.653273107262</v>
      </c>
      <c r="O110" s="129"/>
      <c r="P110" s="117">
        <v>662764</v>
      </c>
      <c r="Q110" s="161">
        <v>1232300</v>
      </c>
      <c r="R110" s="161">
        <v>952</v>
      </c>
      <c r="S110" s="161">
        <v>-568584</v>
      </c>
      <c r="T110" s="124">
        <v>441274</v>
      </c>
      <c r="U110" s="124">
        <v>257328</v>
      </c>
      <c r="V110" s="136"/>
      <c r="X110" s="116">
        <v>-12075</v>
      </c>
      <c r="Y110" s="116">
        <v>5265</v>
      </c>
      <c r="Z110" s="161">
        <v>123208</v>
      </c>
      <c r="AA110" s="116">
        <v>106063</v>
      </c>
      <c r="AB110" s="116">
        <v>1379</v>
      </c>
      <c r="AD110" s="161">
        <v>18524</v>
      </c>
      <c r="AE110" s="117">
        <v>-989</v>
      </c>
      <c r="AF110" s="117">
        <v>-961</v>
      </c>
      <c r="AG110" s="116">
        <v>-1549</v>
      </c>
      <c r="AH110" s="116">
        <v>-5087</v>
      </c>
      <c r="AI110" s="160">
        <v>9938</v>
      </c>
      <c r="AJ110" s="161">
        <v>10875</v>
      </c>
      <c r="AK110" s="161">
        <v>96424</v>
      </c>
      <c r="AL110" s="150"/>
      <c r="AM110" s="161">
        <v>-1648</v>
      </c>
      <c r="AN110" s="161">
        <v>-95646</v>
      </c>
      <c r="AO110" s="160">
        <v>-25599</v>
      </c>
      <c r="AQ110" s="160"/>
      <c r="AR110" s="117"/>
      <c r="AS110" s="117"/>
      <c r="AT110" s="99">
        <v>20.5</v>
      </c>
      <c r="AU110" s="130"/>
      <c r="AV110" s="262">
        <v>22</v>
      </c>
      <c r="AW110" s="267">
        <v>119282</v>
      </c>
      <c r="AX110" s="124"/>
      <c r="AY110" s="255">
        <v>1.3080685534530876</v>
      </c>
      <c r="AZ110" s="259">
        <v>96.633355669603404</v>
      </c>
      <c r="BA110" s="160">
        <v>-8823.6867255746893</v>
      </c>
      <c r="BB110" s="130"/>
      <c r="BC110" s="130"/>
      <c r="BD110" s="130"/>
      <c r="BE110" s="128">
        <v>26.698523698113249</v>
      </c>
      <c r="BF110" s="160">
        <v>1825.522710886806</v>
      </c>
      <c r="BG110" s="129">
        <v>38.422428340328274</v>
      </c>
      <c r="BH110" s="131">
        <v>13696.945054576549</v>
      </c>
      <c r="BI110" s="124"/>
      <c r="BJ110" s="117">
        <v>683752</v>
      </c>
      <c r="BK110" s="117">
        <v>1281632</v>
      </c>
      <c r="BL110" s="161">
        <v>333</v>
      </c>
      <c r="BM110" s="161">
        <v>-597547</v>
      </c>
      <c r="BN110" s="117">
        <v>464000</v>
      </c>
      <c r="BO110" s="117">
        <v>265495</v>
      </c>
      <c r="BP110" s="136"/>
      <c r="BR110" s="160">
        <v>-10987</v>
      </c>
      <c r="BS110" s="160">
        <v>3758</v>
      </c>
      <c r="BT110" s="161">
        <v>124719</v>
      </c>
      <c r="BU110" s="125">
        <v>116077</v>
      </c>
      <c r="BV110" s="160">
        <v>0</v>
      </c>
      <c r="BW110" s="117"/>
      <c r="BX110" s="161">
        <v>8642</v>
      </c>
      <c r="BY110" s="161">
        <v>-2694</v>
      </c>
      <c r="BZ110" s="160">
        <v>-95</v>
      </c>
      <c r="CA110" s="160">
        <v>3003</v>
      </c>
      <c r="CB110" s="160">
        <v>-4420</v>
      </c>
      <c r="CC110" s="160">
        <v>-1570</v>
      </c>
      <c r="CD110" s="160">
        <v>10746</v>
      </c>
      <c r="CE110" s="116">
        <v>101266</v>
      </c>
      <c r="CF110" s="150"/>
      <c r="CG110" s="161">
        <v>-2069</v>
      </c>
      <c r="CH110" s="160">
        <v>-92597</v>
      </c>
      <c r="CI110" s="159">
        <v>-77983</v>
      </c>
      <c r="CK110" s="124"/>
      <c r="CL110" s="161"/>
      <c r="CM110" s="124"/>
      <c r="CN110" s="265">
        <v>20.5</v>
      </c>
      <c r="CO110" s="130"/>
      <c r="CP110" s="116">
        <v>16</v>
      </c>
      <c r="CQ110" s="267">
        <v>120210</v>
      </c>
      <c r="CR110" s="124"/>
      <c r="CS110" s="268">
        <v>1.9953590942005135</v>
      </c>
      <c r="CT110" s="269">
        <v>104.63504151584125</v>
      </c>
      <c r="CU110" s="160">
        <v>-8955.0702936527741</v>
      </c>
      <c r="CV110" s="130"/>
      <c r="CW110" s="130"/>
      <c r="CX110" s="130"/>
      <c r="CY110" s="269">
        <v>26.84505724369501</v>
      </c>
      <c r="CZ110" s="125">
        <v>2469.9858580816904</v>
      </c>
      <c r="DA110" s="125">
        <v>70.355139428523202</v>
      </c>
      <c r="DB110" s="273">
        <v>12814.200149737959</v>
      </c>
      <c r="DC110" s="124"/>
      <c r="DD110" s="117">
        <v>588201</v>
      </c>
      <c r="DE110" s="117">
        <v>1212592</v>
      </c>
      <c r="DF110" s="117">
        <v>2504</v>
      </c>
      <c r="DG110" s="117">
        <v>-621887</v>
      </c>
      <c r="DH110" s="117">
        <v>486187</v>
      </c>
      <c r="DI110" s="117">
        <v>314359</v>
      </c>
      <c r="DJ110" s="136"/>
      <c r="DL110" s="160">
        <v>-12498</v>
      </c>
      <c r="DM110" s="160">
        <v>2725</v>
      </c>
      <c r="DN110" s="161">
        <v>168886</v>
      </c>
      <c r="DO110" s="116">
        <v>117094</v>
      </c>
      <c r="DP110" s="160">
        <v>610</v>
      </c>
      <c r="DQ110" s="117"/>
      <c r="DR110" s="161">
        <v>52402</v>
      </c>
      <c r="DS110" s="117">
        <v>-2707</v>
      </c>
      <c r="DT110" s="116">
        <v>368</v>
      </c>
      <c r="DU110" s="116">
        <v>2770</v>
      </c>
      <c r="DV110" s="116">
        <v>-1585</v>
      </c>
      <c r="DW110" s="160">
        <v>45708</v>
      </c>
      <c r="DX110" s="160">
        <v>54399</v>
      </c>
      <c r="DY110" s="116">
        <v>155548</v>
      </c>
      <c r="DZ110" s="150"/>
      <c r="EA110" s="117">
        <v>947</v>
      </c>
      <c r="EB110" s="116">
        <v>-78163</v>
      </c>
      <c r="EC110" s="159">
        <v>-28739</v>
      </c>
      <c r="EE110" s="125"/>
      <c r="EF110" s="161"/>
      <c r="EG110" s="124"/>
      <c r="EH110" s="253">
        <v>20.75</v>
      </c>
      <c r="EI110" s="130"/>
      <c r="EJ110" s="125">
        <v>34</v>
      </c>
      <c r="EK110" s="116"/>
      <c r="EL110" s="159"/>
      <c r="EN110" s="116"/>
      <c r="EO110" s="116"/>
      <c r="EP110" s="159"/>
      <c r="EQ110" s="159">
        <v>-238526</v>
      </c>
      <c r="ER110" s="116">
        <v>2632</v>
      </c>
      <c r="ES110" s="116">
        <v>113871</v>
      </c>
      <c r="ET110" s="160">
        <v>-247356</v>
      </c>
      <c r="EU110" s="116">
        <v>2768</v>
      </c>
      <c r="EV110" s="116">
        <v>65339</v>
      </c>
      <c r="EW110" s="160">
        <v>-236447</v>
      </c>
      <c r="EX110" s="160">
        <v>2949</v>
      </c>
      <c r="EY110" s="160">
        <v>49211</v>
      </c>
      <c r="EZ110" s="116">
        <v>121417</v>
      </c>
      <c r="FA110" s="116">
        <v>-24014</v>
      </c>
      <c r="FB110" s="116">
        <v>212516</v>
      </c>
      <c r="FC110" s="160">
        <v>262</v>
      </c>
      <c r="FD110" s="116">
        <v>174239</v>
      </c>
      <c r="FE110" s="116">
        <v>-4214</v>
      </c>
      <c r="FF110" s="3">
        <v>955659</v>
      </c>
      <c r="FG110" s="3">
        <v>868669</v>
      </c>
      <c r="FH110" s="3">
        <v>86990</v>
      </c>
      <c r="FI110" s="3">
        <v>502</v>
      </c>
      <c r="FJ110" s="125">
        <v>1075929</v>
      </c>
      <c r="FK110" s="160">
        <v>984837</v>
      </c>
      <c r="FL110" s="125">
        <v>91092</v>
      </c>
      <c r="FM110" s="116">
        <v>502</v>
      </c>
      <c r="FN110" s="125">
        <v>1167789</v>
      </c>
      <c r="FO110" s="116">
        <v>1056540</v>
      </c>
      <c r="FP110" s="116">
        <v>111249</v>
      </c>
      <c r="FQ110" s="116">
        <v>947</v>
      </c>
      <c r="FR110" s="153">
        <v>10653</v>
      </c>
      <c r="FS110" s="153">
        <v>9609</v>
      </c>
      <c r="FT110" s="276">
        <v>8601</v>
      </c>
      <c r="FU110" s="3">
        <v>188151</v>
      </c>
      <c r="FV110" s="159">
        <v>147742</v>
      </c>
      <c r="FW110" s="170"/>
      <c r="FZ110" s="155"/>
      <c r="GA110" s="2"/>
      <c r="GD110" s="163"/>
      <c r="GE110" s="2"/>
      <c r="GF110" s="2"/>
    </row>
    <row r="111" spans="1:188" ht="14.5" x14ac:dyDescent="0.35">
      <c r="A111" s="72">
        <v>300</v>
      </c>
      <c r="B111" s="70" t="s">
        <v>106</v>
      </c>
      <c r="C111" s="158">
        <v>3572</v>
      </c>
      <c r="D111" s="171"/>
      <c r="E111" s="128">
        <v>4.7055449330783938</v>
      </c>
      <c r="F111" s="128">
        <v>36.768504498084972</v>
      </c>
      <c r="G111" s="129">
        <v>-4178.3314669652855</v>
      </c>
      <c r="H111" s="216"/>
      <c r="I111" s="172"/>
      <c r="J111" s="218"/>
      <c r="K111" s="128">
        <v>45.619274181302828</v>
      </c>
      <c r="L111" s="129">
        <v>798.71220604703251</v>
      </c>
      <c r="M111" s="129">
        <v>18.047260879360842</v>
      </c>
      <c r="N111" s="129">
        <v>16153.695408734602</v>
      </c>
      <c r="O111" s="129"/>
      <c r="P111" s="117">
        <v>31144</v>
      </c>
      <c r="Q111" s="161">
        <v>53821</v>
      </c>
      <c r="R111" s="161">
        <v>-13</v>
      </c>
      <c r="S111" s="161">
        <v>-22690</v>
      </c>
      <c r="T111" s="124">
        <v>10776</v>
      </c>
      <c r="U111" s="124">
        <v>14215</v>
      </c>
      <c r="V111" s="136"/>
      <c r="X111" s="116">
        <v>-57</v>
      </c>
      <c r="Y111" s="116">
        <v>122</v>
      </c>
      <c r="Z111" s="161">
        <v>2366</v>
      </c>
      <c r="AA111" s="116">
        <v>1964</v>
      </c>
      <c r="AB111" s="117">
        <v>0</v>
      </c>
      <c r="AD111" s="161">
        <v>402</v>
      </c>
      <c r="AE111" s="117">
        <v>-2</v>
      </c>
      <c r="AF111" s="117">
        <v>-8</v>
      </c>
      <c r="AG111" s="116">
        <v>0</v>
      </c>
      <c r="AH111" s="116">
        <v>0</v>
      </c>
      <c r="AI111" s="160">
        <v>392</v>
      </c>
      <c r="AJ111" s="161">
        <v>3484</v>
      </c>
      <c r="AK111" s="161">
        <v>2332</v>
      </c>
      <c r="AL111" s="150"/>
      <c r="AM111" s="161">
        <v>203</v>
      </c>
      <c r="AN111" s="161">
        <v>-428</v>
      </c>
      <c r="AO111" s="160">
        <v>-835</v>
      </c>
      <c r="AQ111" s="160"/>
      <c r="AR111" s="117"/>
      <c r="AS111" s="117"/>
      <c r="AT111" s="99">
        <v>21</v>
      </c>
      <c r="AU111" s="130"/>
      <c r="AV111" s="262">
        <v>88</v>
      </c>
      <c r="AW111" s="267">
        <v>3551</v>
      </c>
      <c r="AX111" s="124"/>
      <c r="AY111" s="255">
        <v>2.3488975356679638</v>
      </c>
      <c r="AZ111" s="259">
        <v>44.337408916882794</v>
      </c>
      <c r="BA111" s="160">
        <v>-5245.0014080540686</v>
      </c>
      <c r="BB111" s="130"/>
      <c r="BC111" s="130"/>
      <c r="BD111" s="130"/>
      <c r="BE111" s="128">
        <v>40.450135638420157</v>
      </c>
      <c r="BF111" s="160">
        <v>983.38496198254006</v>
      </c>
      <c r="BG111" s="129">
        <v>16.795077581594438</v>
      </c>
      <c r="BH111" s="131">
        <v>17368.910166150377</v>
      </c>
      <c r="BI111" s="124"/>
      <c r="BJ111" s="117">
        <v>31490</v>
      </c>
      <c r="BK111" s="117">
        <v>54906</v>
      </c>
      <c r="BL111" s="161">
        <v>-13</v>
      </c>
      <c r="BM111" s="161">
        <v>-23429</v>
      </c>
      <c r="BN111" s="117">
        <v>11113</v>
      </c>
      <c r="BO111" s="117">
        <v>14076</v>
      </c>
      <c r="BP111" s="136"/>
      <c r="BR111" s="160">
        <v>-141</v>
      </c>
      <c r="BS111" s="160">
        <v>23</v>
      </c>
      <c r="BT111" s="161">
        <v>1642</v>
      </c>
      <c r="BU111" s="125">
        <v>2158</v>
      </c>
      <c r="BV111" s="161">
        <v>0</v>
      </c>
      <c r="BW111" s="117"/>
      <c r="BX111" s="161">
        <v>-516</v>
      </c>
      <c r="BY111" s="161">
        <v>7</v>
      </c>
      <c r="BZ111" s="161">
        <v>41</v>
      </c>
      <c r="CA111" s="160">
        <v>0</v>
      </c>
      <c r="CB111" s="160">
        <v>0</v>
      </c>
      <c r="CC111" s="160">
        <v>-468</v>
      </c>
      <c r="CD111" s="160">
        <v>3068</v>
      </c>
      <c r="CE111" s="116">
        <v>1634</v>
      </c>
      <c r="CF111" s="150"/>
      <c r="CG111" s="161">
        <v>-120</v>
      </c>
      <c r="CH111" s="160">
        <v>-602</v>
      </c>
      <c r="CI111" s="159">
        <v>-4032</v>
      </c>
      <c r="CK111" s="124"/>
      <c r="CL111" s="161"/>
      <c r="CM111" s="124"/>
      <c r="CN111" s="265">
        <v>21</v>
      </c>
      <c r="CO111" s="130"/>
      <c r="CP111" s="116">
        <v>136</v>
      </c>
      <c r="CQ111" s="267">
        <v>3534</v>
      </c>
      <c r="CR111" s="124"/>
      <c r="CS111" s="268">
        <v>3.4701873935264054</v>
      </c>
      <c r="CT111" s="269">
        <v>43.771179332326788</v>
      </c>
      <c r="CU111" s="160">
        <v>-5630.4470854555748</v>
      </c>
      <c r="CV111" s="130"/>
      <c r="CW111" s="130"/>
      <c r="CX111" s="130"/>
      <c r="CY111" s="269">
        <v>41.448793401448356</v>
      </c>
      <c r="CZ111" s="125">
        <v>891.3412563667232</v>
      </c>
      <c r="DA111" s="125">
        <v>18.490969619968155</v>
      </c>
      <c r="DB111" s="273">
        <v>17594.510469722693</v>
      </c>
      <c r="DC111" s="124"/>
      <c r="DD111" s="117">
        <v>32497</v>
      </c>
      <c r="DE111" s="117">
        <v>55581</v>
      </c>
      <c r="DF111" s="117">
        <v>-21</v>
      </c>
      <c r="DG111" s="117">
        <v>-23105</v>
      </c>
      <c r="DH111" s="117">
        <v>11546</v>
      </c>
      <c r="DI111" s="117">
        <v>15567</v>
      </c>
      <c r="DJ111" s="136"/>
      <c r="DL111" s="160">
        <v>-136</v>
      </c>
      <c r="DM111" s="160">
        <v>48</v>
      </c>
      <c r="DN111" s="161">
        <v>3920</v>
      </c>
      <c r="DO111" s="116">
        <v>2369</v>
      </c>
      <c r="DP111" s="161">
        <v>0</v>
      </c>
      <c r="DQ111" s="117"/>
      <c r="DR111" s="161">
        <v>1551</v>
      </c>
      <c r="DS111" s="117">
        <v>-2</v>
      </c>
      <c r="DT111" s="117">
        <v>17</v>
      </c>
      <c r="DU111" s="116">
        <v>0</v>
      </c>
      <c r="DV111" s="116">
        <v>-27</v>
      </c>
      <c r="DW111" s="160">
        <v>1539</v>
      </c>
      <c r="DX111" s="160">
        <v>4630</v>
      </c>
      <c r="DY111" s="116">
        <v>3809</v>
      </c>
      <c r="DZ111" s="150"/>
      <c r="EA111" s="117">
        <v>38</v>
      </c>
      <c r="EB111" s="116">
        <v>-1020</v>
      </c>
      <c r="EC111" s="159">
        <v>-1293</v>
      </c>
      <c r="EE111" s="125"/>
      <c r="EF111" s="161"/>
      <c r="EG111" s="124"/>
      <c r="EH111" s="253">
        <v>21</v>
      </c>
      <c r="EI111" s="130"/>
      <c r="EJ111" s="125">
        <v>99</v>
      </c>
      <c r="EK111" s="116"/>
      <c r="EL111" s="159"/>
      <c r="EN111" s="116"/>
      <c r="EO111" s="116"/>
      <c r="EP111" s="159"/>
      <c r="EQ111" s="159">
        <v>-3292</v>
      </c>
      <c r="ER111" s="116">
        <v>32</v>
      </c>
      <c r="ES111" s="116">
        <v>93</v>
      </c>
      <c r="ET111" s="160">
        <v>-5937</v>
      </c>
      <c r="EU111" s="116">
        <v>205</v>
      </c>
      <c r="EV111" s="116">
        <v>66</v>
      </c>
      <c r="EW111" s="160">
        <v>-5386</v>
      </c>
      <c r="EX111" s="160">
        <v>207</v>
      </c>
      <c r="EY111" s="160">
        <v>77</v>
      </c>
      <c r="EZ111" s="116">
        <v>5933</v>
      </c>
      <c r="FA111" s="116">
        <v>-5087</v>
      </c>
      <c r="FB111" s="116">
        <v>2100</v>
      </c>
      <c r="FC111" s="160">
        <v>1914</v>
      </c>
      <c r="FD111" s="116">
        <v>1668</v>
      </c>
      <c r="FE111" s="116">
        <v>1032</v>
      </c>
      <c r="FF111" s="3">
        <v>15534</v>
      </c>
      <c r="FG111" s="3">
        <v>13008</v>
      </c>
      <c r="FH111" s="3">
        <v>2526</v>
      </c>
      <c r="FI111" s="3">
        <v>1549</v>
      </c>
      <c r="FJ111" s="125">
        <v>18597</v>
      </c>
      <c r="FK111" s="160">
        <v>14180</v>
      </c>
      <c r="FL111" s="125">
        <v>4417</v>
      </c>
      <c r="FM111" s="116">
        <v>1542</v>
      </c>
      <c r="FN111" s="125">
        <v>20346</v>
      </c>
      <c r="FO111" s="116">
        <v>14888</v>
      </c>
      <c r="FP111" s="116">
        <v>5458</v>
      </c>
      <c r="FQ111" s="116">
        <v>38</v>
      </c>
      <c r="FR111" s="153">
        <v>1570</v>
      </c>
      <c r="FS111" s="153">
        <v>1462</v>
      </c>
      <c r="FT111" s="276">
        <v>1627</v>
      </c>
      <c r="FU111" s="3">
        <v>2706</v>
      </c>
      <c r="FV111" s="159">
        <v>5628</v>
      </c>
      <c r="FW111" s="170"/>
      <c r="FZ111" s="155"/>
      <c r="GA111" s="2"/>
      <c r="GD111" s="163"/>
      <c r="GE111" s="2"/>
      <c r="GF111" s="2"/>
    </row>
    <row r="112" spans="1:188" ht="14.5" x14ac:dyDescent="0.35">
      <c r="A112" s="72">
        <v>301</v>
      </c>
      <c r="B112" s="70" t="s">
        <v>107</v>
      </c>
      <c r="C112" s="158">
        <v>20952</v>
      </c>
      <c r="D112" s="171"/>
      <c r="E112" s="128">
        <v>1.0861074123391035</v>
      </c>
      <c r="F112" s="128">
        <v>77.994543217361837</v>
      </c>
      <c r="G112" s="129">
        <v>-5060.7101947308129</v>
      </c>
      <c r="H112" s="217"/>
      <c r="I112" s="172"/>
      <c r="J112" s="218"/>
      <c r="K112" s="128">
        <v>39.160611426594208</v>
      </c>
      <c r="L112" s="129">
        <v>2665.7598319969456</v>
      </c>
      <c r="M112" s="129">
        <v>80.948948150030574</v>
      </c>
      <c r="N112" s="129">
        <v>12019.950362733867</v>
      </c>
      <c r="O112" s="129"/>
      <c r="P112" s="117">
        <v>92967</v>
      </c>
      <c r="Q112" s="161">
        <v>216865</v>
      </c>
      <c r="R112" s="161">
        <v>24</v>
      </c>
      <c r="S112" s="161">
        <v>-123874</v>
      </c>
      <c r="T112" s="124">
        <v>63772</v>
      </c>
      <c r="U112" s="124">
        <v>67569</v>
      </c>
      <c r="V112" s="136"/>
      <c r="X112" s="116">
        <v>-1026</v>
      </c>
      <c r="Y112" s="116">
        <v>9491</v>
      </c>
      <c r="Z112" s="161">
        <v>15932</v>
      </c>
      <c r="AA112" s="116">
        <v>14631</v>
      </c>
      <c r="AB112" s="116">
        <v>0</v>
      </c>
      <c r="AD112" s="161">
        <v>1301</v>
      </c>
      <c r="AE112" s="116">
        <v>48</v>
      </c>
      <c r="AF112" s="116">
        <v>-40</v>
      </c>
      <c r="AG112" s="116">
        <v>-190</v>
      </c>
      <c r="AH112" s="116">
        <v>-39</v>
      </c>
      <c r="AI112" s="160">
        <v>1080</v>
      </c>
      <c r="AJ112" s="161">
        <v>22823</v>
      </c>
      <c r="AK112" s="161">
        <v>15608</v>
      </c>
      <c r="AL112" s="150"/>
      <c r="AM112" s="161">
        <v>2014</v>
      </c>
      <c r="AN112" s="161">
        <v>-14574</v>
      </c>
      <c r="AO112" s="160">
        <v>-2012</v>
      </c>
      <c r="AQ112" s="160"/>
      <c r="AR112" s="117"/>
      <c r="AS112" s="117"/>
      <c r="AT112" s="99">
        <v>21</v>
      </c>
      <c r="AU112" s="130"/>
      <c r="AV112" s="262">
        <v>59</v>
      </c>
      <c r="AW112" s="267">
        <v>20678</v>
      </c>
      <c r="AX112" s="124"/>
      <c r="AY112" s="255">
        <v>0.75812920343061641</v>
      </c>
      <c r="AZ112" s="259">
        <v>78.321213196168856</v>
      </c>
      <c r="BA112" s="160">
        <v>-5264.8225166843986</v>
      </c>
      <c r="BB112" s="130"/>
      <c r="BC112" s="130"/>
      <c r="BD112" s="130"/>
      <c r="BE112" s="128">
        <v>36.593428644856033</v>
      </c>
      <c r="BF112" s="160">
        <v>2635.2161717767676</v>
      </c>
      <c r="BG112" s="129">
        <v>79.712184364662917</v>
      </c>
      <c r="BH112" s="131">
        <v>12368.410871457589</v>
      </c>
      <c r="BI112" s="124"/>
      <c r="BJ112" s="117">
        <v>93292</v>
      </c>
      <c r="BK112" s="117">
        <v>224243</v>
      </c>
      <c r="BL112" s="161">
        <v>17</v>
      </c>
      <c r="BM112" s="161">
        <v>-130934</v>
      </c>
      <c r="BN112" s="117">
        <v>64910</v>
      </c>
      <c r="BO112" s="117">
        <v>67318</v>
      </c>
      <c r="BP112" s="136"/>
      <c r="BR112" s="160">
        <v>-1041</v>
      </c>
      <c r="BS112" s="160">
        <v>10817</v>
      </c>
      <c r="BT112" s="161">
        <v>11070</v>
      </c>
      <c r="BU112" s="125">
        <v>23222</v>
      </c>
      <c r="BV112" s="160">
        <v>-6</v>
      </c>
      <c r="BX112" s="161">
        <v>-12158</v>
      </c>
      <c r="BY112" s="160">
        <v>309</v>
      </c>
      <c r="BZ112" s="160">
        <v>-280</v>
      </c>
      <c r="CA112" s="160">
        <v>171</v>
      </c>
      <c r="CB112" s="160">
        <v>47</v>
      </c>
      <c r="CC112" s="160">
        <v>-12253</v>
      </c>
      <c r="CD112" s="160">
        <v>10327</v>
      </c>
      <c r="CE112" s="116">
        <v>10562</v>
      </c>
      <c r="CF112" s="150"/>
      <c r="CG112" s="160">
        <v>2384</v>
      </c>
      <c r="CH112" s="160">
        <v>-14990</v>
      </c>
      <c r="CI112" s="159">
        <v>-2172</v>
      </c>
      <c r="CK112" s="124"/>
      <c r="CL112" s="161"/>
      <c r="CM112" s="124"/>
      <c r="CN112" s="265">
        <v>21</v>
      </c>
      <c r="CO112" s="130"/>
      <c r="CP112" s="116">
        <v>110</v>
      </c>
      <c r="CQ112" s="267">
        <v>20456</v>
      </c>
      <c r="CR112" s="124"/>
      <c r="CS112" s="268">
        <v>1.3232213139570088</v>
      </c>
      <c r="CT112" s="269">
        <v>77.647627963645647</v>
      </c>
      <c r="CU112" s="160">
        <v>-5021.3140398904961</v>
      </c>
      <c r="CV112" s="130"/>
      <c r="CW112" s="130"/>
      <c r="CX112" s="130"/>
      <c r="CY112" s="269">
        <v>38.13937328696214</v>
      </c>
      <c r="CZ112" s="125">
        <v>2826.3101290574896</v>
      </c>
      <c r="DA112" s="125">
        <v>85.969734869471694</v>
      </c>
      <c r="DB112" s="273">
        <v>11999.608916699257</v>
      </c>
      <c r="DC112" s="124"/>
      <c r="DD112" s="117">
        <v>79340</v>
      </c>
      <c r="DE112" s="117">
        <v>213843</v>
      </c>
      <c r="DF112" s="117">
        <v>3</v>
      </c>
      <c r="DG112" s="117">
        <v>-134500</v>
      </c>
      <c r="DH112" s="117">
        <v>67889</v>
      </c>
      <c r="DI112" s="117">
        <v>76018</v>
      </c>
      <c r="DJ112" s="136"/>
      <c r="DL112" s="160">
        <v>-716</v>
      </c>
      <c r="DM112" s="160">
        <v>12236</v>
      </c>
      <c r="DN112" s="161">
        <v>20927</v>
      </c>
      <c r="DO112" s="116">
        <v>15583</v>
      </c>
      <c r="DP112" s="160">
        <v>0</v>
      </c>
      <c r="DR112" s="161">
        <v>5344</v>
      </c>
      <c r="DS112" s="116">
        <v>-12</v>
      </c>
      <c r="DT112" s="116">
        <v>0</v>
      </c>
      <c r="DU112" s="116">
        <v>132</v>
      </c>
      <c r="DV112" s="116">
        <v>-45</v>
      </c>
      <c r="DW112" s="160">
        <v>5155</v>
      </c>
      <c r="DX112" s="160">
        <v>15370</v>
      </c>
      <c r="DY112" s="116">
        <v>20094</v>
      </c>
      <c r="DZ112" s="150"/>
      <c r="EA112" s="116">
        <v>3427</v>
      </c>
      <c r="EB112" s="116">
        <v>-15589</v>
      </c>
      <c r="EC112" s="159">
        <v>6856</v>
      </c>
      <c r="EE112" s="125"/>
      <c r="EF112" s="161"/>
      <c r="EG112" s="124"/>
      <c r="EH112" s="253">
        <v>21</v>
      </c>
      <c r="EI112" s="130"/>
      <c r="EJ112" s="125">
        <v>122</v>
      </c>
      <c r="EK112" s="116"/>
      <c r="EL112" s="159"/>
      <c r="EN112" s="116"/>
      <c r="EO112" s="116"/>
      <c r="EP112" s="159"/>
      <c r="EQ112" s="159">
        <v>-18920</v>
      </c>
      <c r="ER112" s="116">
        <v>63</v>
      </c>
      <c r="ES112" s="116">
        <v>1237</v>
      </c>
      <c r="ET112" s="160">
        <v>-15095</v>
      </c>
      <c r="EU112" s="116">
        <v>130</v>
      </c>
      <c r="EV112" s="116">
        <v>2231</v>
      </c>
      <c r="EW112" s="160">
        <v>-14990</v>
      </c>
      <c r="EX112" s="160">
        <v>133</v>
      </c>
      <c r="EY112" s="160">
        <v>1619</v>
      </c>
      <c r="EZ112" s="116">
        <v>5193</v>
      </c>
      <c r="FA112" s="116">
        <v>6715</v>
      </c>
      <c r="FB112" s="116">
        <v>18093</v>
      </c>
      <c r="FC112" s="160">
        <v>-692</v>
      </c>
      <c r="FD112" s="116">
        <v>13416</v>
      </c>
      <c r="FE112" s="116">
        <v>-3120</v>
      </c>
      <c r="FF112" s="3">
        <v>134854</v>
      </c>
      <c r="FG112" s="3">
        <v>106738</v>
      </c>
      <c r="FH112" s="3">
        <v>28116</v>
      </c>
      <c r="FI112" s="3">
        <v>104</v>
      </c>
      <c r="FJ112" s="125">
        <v>137265</v>
      </c>
      <c r="FK112" s="160">
        <v>108740</v>
      </c>
      <c r="FL112" s="125">
        <v>28525</v>
      </c>
      <c r="FM112" s="116">
        <v>10</v>
      </c>
      <c r="FN112" s="125">
        <v>131971</v>
      </c>
      <c r="FO112" s="116">
        <v>106164</v>
      </c>
      <c r="FP112" s="116">
        <v>25807</v>
      </c>
      <c r="FQ112" s="116">
        <v>3427</v>
      </c>
      <c r="FR112" s="153">
        <v>15584</v>
      </c>
      <c r="FS112" s="153">
        <v>14215</v>
      </c>
      <c r="FT112" s="276">
        <v>26297</v>
      </c>
      <c r="FU112" s="3">
        <v>7285</v>
      </c>
      <c r="FV112" s="159">
        <v>8474</v>
      </c>
      <c r="FW112" s="170"/>
      <c r="FZ112" s="155"/>
      <c r="GA112" s="2"/>
      <c r="GD112" s="163"/>
      <c r="GE112" s="2"/>
      <c r="GF112" s="2"/>
    </row>
    <row r="113" spans="1:188" ht="14.5" x14ac:dyDescent="0.35">
      <c r="A113" s="72">
        <v>304</v>
      </c>
      <c r="B113" s="70" t="s">
        <v>108</v>
      </c>
      <c r="C113" s="158">
        <v>926</v>
      </c>
      <c r="D113" s="171"/>
      <c r="E113" s="128">
        <v>1.8133333333333332</v>
      </c>
      <c r="F113" s="128">
        <v>44.856001331779588</v>
      </c>
      <c r="G113" s="129">
        <v>-3317.4946004319654</v>
      </c>
      <c r="H113" s="216"/>
      <c r="I113" s="172"/>
      <c r="J113" s="218"/>
      <c r="K113" s="128">
        <v>58.96115361977634</v>
      </c>
      <c r="L113" s="129">
        <v>1579.913606911447</v>
      </c>
      <c r="M113" s="129">
        <v>44.536697247706428</v>
      </c>
      <c r="N113" s="129">
        <v>12948.164146868252</v>
      </c>
      <c r="O113" s="129"/>
      <c r="P113" s="117">
        <v>5242</v>
      </c>
      <c r="Q113" s="161">
        <v>11053</v>
      </c>
      <c r="R113" s="161">
        <v>0</v>
      </c>
      <c r="S113" s="161">
        <v>-5811</v>
      </c>
      <c r="T113" s="124">
        <v>4469</v>
      </c>
      <c r="U113" s="124">
        <v>2303</v>
      </c>
      <c r="V113" s="136"/>
      <c r="X113" s="116">
        <v>-53</v>
      </c>
      <c r="Y113" s="116">
        <v>-9</v>
      </c>
      <c r="Z113" s="161">
        <v>899</v>
      </c>
      <c r="AA113" s="116">
        <v>588</v>
      </c>
      <c r="AB113" s="117">
        <v>0</v>
      </c>
      <c r="AD113" s="161">
        <v>311</v>
      </c>
      <c r="AE113" s="116">
        <v>0</v>
      </c>
      <c r="AF113" s="116">
        <v>21</v>
      </c>
      <c r="AG113" s="116">
        <v>0</v>
      </c>
      <c r="AH113" s="116">
        <v>0</v>
      </c>
      <c r="AI113" s="160">
        <v>332</v>
      </c>
      <c r="AJ113" s="161">
        <v>3761</v>
      </c>
      <c r="AK113" s="161">
        <v>901</v>
      </c>
      <c r="AL113" s="150"/>
      <c r="AM113" s="161">
        <v>114</v>
      </c>
      <c r="AN113" s="161">
        <v>-472</v>
      </c>
      <c r="AO113" s="160">
        <v>533</v>
      </c>
      <c r="AQ113" s="160"/>
      <c r="AR113" s="117"/>
      <c r="AS113" s="117"/>
      <c r="AT113" s="99">
        <v>18.75</v>
      </c>
      <c r="AU113" s="130"/>
      <c r="AV113" s="262">
        <v>28</v>
      </c>
      <c r="AW113" s="267">
        <v>949</v>
      </c>
      <c r="AX113" s="124"/>
      <c r="AY113" s="255">
        <v>1.3101391650099403</v>
      </c>
      <c r="AZ113" s="259">
        <v>51.551071878940732</v>
      </c>
      <c r="BA113" s="160">
        <v>-3713.3825079030557</v>
      </c>
      <c r="BB113" s="130"/>
      <c r="BC113" s="130"/>
      <c r="BD113" s="130"/>
      <c r="BE113" s="128">
        <v>56.066712995135511</v>
      </c>
      <c r="BF113" s="160">
        <v>1778.7144362486829</v>
      </c>
      <c r="BG113" s="129">
        <v>41.55367231638418</v>
      </c>
      <c r="BH113" s="131">
        <v>13615.384615384615</v>
      </c>
      <c r="BI113" s="124"/>
      <c r="BJ113" s="117">
        <v>5180</v>
      </c>
      <c r="BK113" s="117">
        <v>11240</v>
      </c>
      <c r="BL113" s="161">
        <v>3</v>
      </c>
      <c r="BM113" s="161">
        <v>-6057</v>
      </c>
      <c r="BN113" s="117">
        <v>4583</v>
      </c>
      <c r="BO113" s="117">
        <v>2132</v>
      </c>
      <c r="BP113" s="136"/>
      <c r="BR113" s="160">
        <v>-50</v>
      </c>
      <c r="BS113" s="160">
        <v>1</v>
      </c>
      <c r="BT113" s="161">
        <v>609</v>
      </c>
      <c r="BU113" s="125">
        <v>586</v>
      </c>
      <c r="BV113" s="161">
        <v>0</v>
      </c>
      <c r="BX113" s="161">
        <v>23</v>
      </c>
      <c r="BY113" s="160">
        <v>0</v>
      </c>
      <c r="BZ113" s="160">
        <v>23</v>
      </c>
      <c r="CA113" s="160">
        <v>0</v>
      </c>
      <c r="CB113" s="160">
        <v>0</v>
      </c>
      <c r="CC113" s="160">
        <v>46</v>
      </c>
      <c r="CD113" s="160">
        <v>3810</v>
      </c>
      <c r="CE113" s="116">
        <v>606</v>
      </c>
      <c r="CF113" s="150"/>
      <c r="CG113" s="160">
        <v>-73</v>
      </c>
      <c r="CH113" s="160">
        <v>-453</v>
      </c>
      <c r="CI113" s="159">
        <v>-455</v>
      </c>
      <c r="CK113" s="124"/>
      <c r="CL113" s="161"/>
      <c r="CM113" s="124"/>
      <c r="CN113" s="265">
        <v>18.5</v>
      </c>
      <c r="CO113" s="130"/>
      <c r="CP113" s="116">
        <v>76</v>
      </c>
      <c r="CQ113" s="267">
        <v>962</v>
      </c>
      <c r="CR113" s="124"/>
      <c r="CS113" s="268">
        <v>1.7746268656716417</v>
      </c>
      <c r="CT113" s="269">
        <v>48.152610441767067</v>
      </c>
      <c r="CU113" s="160">
        <v>-3518.7110187110188</v>
      </c>
      <c r="CV113" s="130"/>
      <c r="CW113" s="130"/>
      <c r="CX113" s="130"/>
      <c r="CY113" s="269">
        <v>58.150555104251289</v>
      </c>
      <c r="CZ113" s="125">
        <v>1581.081081081081</v>
      </c>
      <c r="DA113" s="125">
        <v>42.826891923165931</v>
      </c>
      <c r="DB113" s="273">
        <v>13475.051975051976</v>
      </c>
      <c r="DC113" s="124"/>
      <c r="DD113" s="117">
        <v>5376</v>
      </c>
      <c r="DE113" s="117">
        <v>11266</v>
      </c>
      <c r="DF113" s="117">
        <v>3</v>
      </c>
      <c r="DG113" s="117">
        <v>-5887</v>
      </c>
      <c r="DH113" s="117">
        <v>4651</v>
      </c>
      <c r="DI113" s="117">
        <v>2423</v>
      </c>
      <c r="DJ113" s="136"/>
      <c r="DL113" s="160">
        <v>-50</v>
      </c>
      <c r="DM113" s="160">
        <v>2</v>
      </c>
      <c r="DN113" s="161">
        <v>1139</v>
      </c>
      <c r="DO113" s="116">
        <v>613</v>
      </c>
      <c r="DP113" s="161">
        <v>0</v>
      </c>
      <c r="DR113" s="161">
        <v>526</v>
      </c>
      <c r="DS113" s="116">
        <v>-1</v>
      </c>
      <c r="DT113" s="116">
        <v>-461</v>
      </c>
      <c r="DU113" s="116">
        <v>0</v>
      </c>
      <c r="DV113" s="116">
        <v>0</v>
      </c>
      <c r="DW113" s="160">
        <v>64</v>
      </c>
      <c r="DX113" s="160">
        <v>3875</v>
      </c>
      <c r="DY113" s="116">
        <v>1123</v>
      </c>
      <c r="DZ113" s="150"/>
      <c r="EA113" s="116">
        <v>-152</v>
      </c>
      <c r="EB113" s="116">
        <v>-620</v>
      </c>
      <c r="EC113" s="159">
        <v>189</v>
      </c>
      <c r="EE113" s="125"/>
      <c r="EF113" s="161"/>
      <c r="EG113" s="124"/>
      <c r="EH113" s="253">
        <v>18.25</v>
      </c>
      <c r="EI113" s="130"/>
      <c r="EJ113" s="125">
        <v>78</v>
      </c>
      <c r="EK113" s="116"/>
      <c r="EL113" s="159"/>
      <c r="EN113" s="116"/>
      <c r="EO113" s="116"/>
      <c r="EP113" s="159"/>
      <c r="EQ113" s="159">
        <v>-390</v>
      </c>
      <c r="ER113" s="116">
        <v>18</v>
      </c>
      <c r="ES113" s="116">
        <v>4</v>
      </c>
      <c r="ET113" s="160">
        <v>-1171</v>
      </c>
      <c r="EU113" s="116">
        <v>52</v>
      </c>
      <c r="EV113" s="116">
        <v>58</v>
      </c>
      <c r="EW113" s="160">
        <v>-1017</v>
      </c>
      <c r="EX113" s="160">
        <v>31</v>
      </c>
      <c r="EY113" s="160">
        <v>52</v>
      </c>
      <c r="EZ113" s="116">
        <v>103</v>
      </c>
      <c r="FA113" s="116">
        <v>-4</v>
      </c>
      <c r="FB113" s="116">
        <v>785</v>
      </c>
      <c r="FC113" s="160">
        <v>41</v>
      </c>
      <c r="FD113" s="116">
        <v>883</v>
      </c>
      <c r="FE113" s="116">
        <v>72</v>
      </c>
      <c r="FF113" s="3">
        <v>4012</v>
      </c>
      <c r="FG113" s="3">
        <v>3647</v>
      </c>
      <c r="FH113" s="3">
        <v>365</v>
      </c>
      <c r="FI113" s="3">
        <v>0</v>
      </c>
      <c r="FJ113" s="125">
        <v>4399</v>
      </c>
      <c r="FK113" s="160">
        <v>3914</v>
      </c>
      <c r="FL113" s="125">
        <v>485</v>
      </c>
      <c r="FM113" s="116">
        <v>0</v>
      </c>
      <c r="FN113" s="125">
        <v>4763</v>
      </c>
      <c r="FO113" s="116">
        <v>4128</v>
      </c>
      <c r="FP113" s="116">
        <v>635</v>
      </c>
      <c r="FQ113" s="116">
        <v>-152</v>
      </c>
      <c r="FR113" s="153">
        <v>1484</v>
      </c>
      <c r="FS113" s="153">
        <v>1325</v>
      </c>
      <c r="FT113" s="276">
        <v>1313</v>
      </c>
      <c r="FU113" s="3">
        <v>839</v>
      </c>
      <c r="FV113" s="159">
        <v>911</v>
      </c>
      <c r="FW113" s="170"/>
      <c r="FZ113" s="155"/>
      <c r="GA113" s="2"/>
      <c r="GD113" s="163"/>
      <c r="GE113" s="2"/>
      <c r="GF113" s="2"/>
    </row>
    <row r="114" spans="1:188" ht="14.5" x14ac:dyDescent="0.35">
      <c r="A114" s="72">
        <v>305</v>
      </c>
      <c r="B114" s="70" t="s">
        <v>109</v>
      </c>
      <c r="C114" s="158">
        <v>15207</v>
      </c>
      <c r="D114" s="171"/>
      <c r="E114" s="128">
        <v>0.54175348613559871</v>
      </c>
      <c r="F114" s="128">
        <v>56.971060378825754</v>
      </c>
      <c r="G114" s="129">
        <v>-2112.3824554481489</v>
      </c>
      <c r="H114" s="216"/>
      <c r="I114" s="172"/>
      <c r="J114" s="218"/>
      <c r="K114" s="128">
        <v>49.861288758841013</v>
      </c>
      <c r="L114" s="129">
        <v>2405.6684421647929</v>
      </c>
      <c r="M114" s="129">
        <v>82.228732772529654</v>
      </c>
      <c r="N114" s="129">
        <v>10678.371802459393</v>
      </c>
      <c r="O114" s="129"/>
      <c r="P114" s="117">
        <v>48008</v>
      </c>
      <c r="Q114" s="161">
        <v>137406</v>
      </c>
      <c r="R114" s="161">
        <v>4</v>
      </c>
      <c r="S114" s="161">
        <v>-89394</v>
      </c>
      <c r="T114" s="124">
        <v>51130</v>
      </c>
      <c r="U114" s="124">
        <v>44886</v>
      </c>
      <c r="V114" s="136"/>
      <c r="X114" s="116">
        <v>-716</v>
      </c>
      <c r="Y114" s="116">
        <v>113</v>
      </c>
      <c r="Z114" s="161">
        <v>6019</v>
      </c>
      <c r="AA114" s="116">
        <v>7343</v>
      </c>
      <c r="AB114" s="116">
        <v>511</v>
      </c>
      <c r="AD114" s="161">
        <v>-813</v>
      </c>
      <c r="AE114" s="117">
        <v>-8</v>
      </c>
      <c r="AF114" s="117">
        <v>412</v>
      </c>
      <c r="AG114" s="116">
        <v>-21</v>
      </c>
      <c r="AH114" s="116">
        <v>-92</v>
      </c>
      <c r="AI114" s="160">
        <v>-522</v>
      </c>
      <c r="AJ114" s="161">
        <v>21569</v>
      </c>
      <c r="AK114" s="161">
        <v>5752</v>
      </c>
      <c r="AL114" s="150"/>
      <c r="AM114" s="161">
        <v>-3332</v>
      </c>
      <c r="AN114" s="161">
        <v>-11737</v>
      </c>
      <c r="AO114" s="160">
        <v>-3692</v>
      </c>
      <c r="AQ114" s="160"/>
      <c r="AR114" s="117"/>
      <c r="AS114" s="117"/>
      <c r="AT114" s="99">
        <v>20</v>
      </c>
      <c r="AU114" s="130"/>
      <c r="AV114" s="262">
        <v>183</v>
      </c>
      <c r="AW114" s="267">
        <v>15134</v>
      </c>
      <c r="AX114" s="124"/>
      <c r="AY114" s="255">
        <v>0.90761445215958569</v>
      </c>
      <c r="AZ114" s="259">
        <v>51.936417948909217</v>
      </c>
      <c r="BA114" s="160">
        <v>-2351.0638297872338</v>
      </c>
      <c r="BB114" s="130"/>
      <c r="BC114" s="130"/>
      <c r="BD114" s="130"/>
      <c r="BE114" s="128">
        <v>51.822495285601313</v>
      </c>
      <c r="BF114" s="160">
        <v>1951.2356283864146</v>
      </c>
      <c r="BG114" s="129">
        <v>83.452360863723015</v>
      </c>
      <c r="BH114" s="131">
        <v>10572.551869961675</v>
      </c>
      <c r="BI114" s="124"/>
      <c r="BJ114" s="117">
        <v>49253</v>
      </c>
      <c r="BK114" s="117">
        <v>141442</v>
      </c>
      <c r="BL114" s="161">
        <v>5</v>
      </c>
      <c r="BM114" s="161">
        <v>-92184</v>
      </c>
      <c r="BN114" s="117">
        <v>52485</v>
      </c>
      <c r="BO114" s="117">
        <v>45725</v>
      </c>
      <c r="BP114" s="136"/>
      <c r="BR114" s="160">
        <v>-603</v>
      </c>
      <c r="BS114" s="160">
        <v>1671</v>
      </c>
      <c r="BT114" s="161">
        <v>7094</v>
      </c>
      <c r="BU114" s="125">
        <v>7698</v>
      </c>
      <c r="BV114" s="160">
        <v>0</v>
      </c>
      <c r="BX114" s="161">
        <v>-604</v>
      </c>
      <c r="BY114" s="161">
        <v>-11</v>
      </c>
      <c r="BZ114" s="160">
        <v>474</v>
      </c>
      <c r="CA114" s="160">
        <v>46</v>
      </c>
      <c r="CB114" s="160">
        <v>-45</v>
      </c>
      <c r="CC114" s="160">
        <v>-232</v>
      </c>
      <c r="CD114" s="160">
        <v>21275</v>
      </c>
      <c r="CE114" s="116">
        <v>6840</v>
      </c>
      <c r="CF114" s="150"/>
      <c r="CG114" s="160">
        <v>1868</v>
      </c>
      <c r="CH114" s="160">
        <v>-7879</v>
      </c>
      <c r="CI114" s="159">
        <v>-2753</v>
      </c>
      <c r="CK114" s="124"/>
      <c r="CL114" s="161"/>
      <c r="CM114" s="124"/>
      <c r="CN114" s="265">
        <v>20</v>
      </c>
      <c r="CO114" s="130"/>
      <c r="CP114" s="116">
        <v>131</v>
      </c>
      <c r="CQ114" s="267">
        <v>15213</v>
      </c>
      <c r="CR114" s="124"/>
      <c r="CS114" s="268">
        <v>1.7177237069538625</v>
      </c>
      <c r="CT114" s="269">
        <v>52.275756876618217</v>
      </c>
      <c r="CU114" s="160">
        <v>-2661.5394728192991</v>
      </c>
      <c r="CV114" s="130"/>
      <c r="CW114" s="130"/>
      <c r="CX114" s="130"/>
      <c r="CY114" s="269">
        <v>50.931053599042976</v>
      </c>
      <c r="CZ114" s="125">
        <v>1894.6295931111549</v>
      </c>
      <c r="DA114" s="125">
        <v>62.287345841646882</v>
      </c>
      <c r="DB114" s="273">
        <v>11102.412410438441</v>
      </c>
      <c r="DC114" s="124"/>
      <c r="DD114" s="117">
        <v>50810</v>
      </c>
      <c r="DE114" s="117">
        <v>143261</v>
      </c>
      <c r="DF114" s="117">
        <v>9</v>
      </c>
      <c r="DG114" s="117">
        <v>-92442</v>
      </c>
      <c r="DH114" s="117">
        <v>53771</v>
      </c>
      <c r="DI114" s="117">
        <v>51455</v>
      </c>
      <c r="DJ114" s="136"/>
      <c r="DL114" s="160">
        <v>-571</v>
      </c>
      <c r="DM114" s="160">
        <v>118</v>
      </c>
      <c r="DN114" s="161">
        <v>12331</v>
      </c>
      <c r="DO114" s="116">
        <v>10096</v>
      </c>
      <c r="DP114" s="160">
        <v>0</v>
      </c>
      <c r="DR114" s="161">
        <v>2235</v>
      </c>
      <c r="DS114" s="117">
        <v>-13</v>
      </c>
      <c r="DT114" s="116">
        <v>837</v>
      </c>
      <c r="DU114" s="116">
        <v>29</v>
      </c>
      <c r="DV114" s="116">
        <v>-75</v>
      </c>
      <c r="DW114" s="160">
        <v>2955</v>
      </c>
      <c r="DX114" s="160">
        <v>24173</v>
      </c>
      <c r="DY114" s="116">
        <v>11819</v>
      </c>
      <c r="DZ114" s="150"/>
      <c r="EA114" s="116">
        <v>-1085</v>
      </c>
      <c r="EB114" s="116">
        <v>-6933</v>
      </c>
      <c r="EC114" s="159">
        <v>-3902</v>
      </c>
      <c r="EE114" s="125"/>
      <c r="EF114" s="161"/>
      <c r="EG114" s="124"/>
      <c r="EH114" s="253">
        <v>20</v>
      </c>
      <c r="EI114" s="130"/>
      <c r="EJ114" s="125">
        <v>218</v>
      </c>
      <c r="EK114" s="116"/>
      <c r="EL114" s="159"/>
      <c r="EN114" s="116"/>
      <c r="EO114" s="116"/>
      <c r="EP114" s="159"/>
      <c r="EQ114" s="159">
        <v>-11481</v>
      </c>
      <c r="ER114" s="116">
        <v>843</v>
      </c>
      <c r="ES114" s="116">
        <v>1194</v>
      </c>
      <c r="ET114" s="160">
        <v>-9825</v>
      </c>
      <c r="EU114" s="116">
        <v>45</v>
      </c>
      <c r="EV114" s="116">
        <v>187</v>
      </c>
      <c r="EW114" s="160">
        <v>-18015</v>
      </c>
      <c r="EX114" s="160">
        <v>1595</v>
      </c>
      <c r="EY114" s="160">
        <v>699</v>
      </c>
      <c r="EZ114" s="116">
        <v>16369</v>
      </c>
      <c r="FA114" s="116">
        <v>95</v>
      </c>
      <c r="FB114" s="116">
        <v>2314</v>
      </c>
      <c r="FC114" s="160">
        <v>174</v>
      </c>
      <c r="FD114" s="116">
        <v>11610</v>
      </c>
      <c r="FE114" s="116">
        <v>-475</v>
      </c>
      <c r="FF114" s="3">
        <v>60037</v>
      </c>
      <c r="FG114" s="3">
        <v>52016</v>
      </c>
      <c r="FH114" s="3">
        <v>8021</v>
      </c>
      <c r="FI114" s="3">
        <v>544</v>
      </c>
      <c r="FJ114" s="125">
        <v>54630</v>
      </c>
      <c r="FK114" s="160">
        <v>47095</v>
      </c>
      <c r="FL114" s="125">
        <v>7535</v>
      </c>
      <c r="FM114" s="116">
        <v>528</v>
      </c>
      <c r="FN114" s="125">
        <v>58817</v>
      </c>
      <c r="FO114" s="116">
        <v>48474</v>
      </c>
      <c r="FP114" s="116">
        <v>10343</v>
      </c>
      <c r="FQ114" s="116">
        <v>-1085</v>
      </c>
      <c r="FR114" s="153">
        <v>2189</v>
      </c>
      <c r="FS114" s="153">
        <v>1855</v>
      </c>
      <c r="FT114" s="276">
        <v>1535</v>
      </c>
      <c r="FU114" s="3">
        <v>2582</v>
      </c>
      <c r="FV114" s="159">
        <v>2438</v>
      </c>
      <c r="FW114" s="170"/>
      <c r="FZ114" s="155"/>
      <c r="GA114" s="2"/>
      <c r="GD114" s="163"/>
      <c r="GE114" s="2"/>
      <c r="GF114" s="2"/>
    </row>
    <row r="115" spans="1:188" ht="14.5" x14ac:dyDescent="0.35">
      <c r="A115" s="72">
        <v>312</v>
      </c>
      <c r="B115" s="70" t="s">
        <v>111</v>
      </c>
      <c r="C115" s="158">
        <v>1343</v>
      </c>
      <c r="D115" s="171"/>
      <c r="E115" s="128">
        <v>0.81377551020408168</v>
      </c>
      <c r="F115" s="128">
        <v>103.78842425920797</v>
      </c>
      <c r="G115" s="129">
        <v>-8068.5033507073722</v>
      </c>
      <c r="H115" s="216"/>
      <c r="I115" s="172"/>
      <c r="J115" s="218"/>
      <c r="K115" s="128">
        <v>18.023807470025016</v>
      </c>
      <c r="L115" s="129">
        <v>4903.2017870439313</v>
      </c>
      <c r="M115" s="129">
        <v>117.37681300971822</v>
      </c>
      <c r="N115" s="129">
        <v>15247.207743857036</v>
      </c>
      <c r="O115" s="129"/>
      <c r="P115" s="117">
        <v>9522</v>
      </c>
      <c r="Q115" s="161">
        <v>18191</v>
      </c>
      <c r="R115" s="161">
        <v>0</v>
      </c>
      <c r="S115" s="161">
        <v>-8669</v>
      </c>
      <c r="T115" s="124">
        <v>4384</v>
      </c>
      <c r="U115" s="124">
        <v>4149</v>
      </c>
      <c r="V115" s="136"/>
      <c r="X115" s="116">
        <v>-11</v>
      </c>
      <c r="Y115" s="116">
        <v>445</v>
      </c>
      <c r="Z115" s="161">
        <v>298</v>
      </c>
      <c r="AA115" s="116">
        <v>2383</v>
      </c>
      <c r="AB115" s="116">
        <v>0</v>
      </c>
      <c r="AD115" s="161">
        <v>-2085</v>
      </c>
      <c r="AE115" s="116">
        <v>492</v>
      </c>
      <c r="AF115" s="116">
        <v>0</v>
      </c>
      <c r="AG115" s="116">
        <v>0</v>
      </c>
      <c r="AH115" s="116">
        <v>0</v>
      </c>
      <c r="AI115" s="160">
        <v>-1593</v>
      </c>
      <c r="AJ115" s="161">
        <v>-1867</v>
      </c>
      <c r="AK115" s="161">
        <v>304</v>
      </c>
      <c r="AL115" s="150"/>
      <c r="AM115" s="161">
        <v>-157</v>
      </c>
      <c r="AN115" s="161">
        <v>-371</v>
      </c>
      <c r="AO115" s="160">
        <v>-1378</v>
      </c>
      <c r="AQ115" s="160"/>
      <c r="AR115" s="117"/>
      <c r="AS115" s="117"/>
      <c r="AT115" s="99">
        <v>21.75</v>
      </c>
      <c r="AU115" s="130"/>
      <c r="AV115" s="262">
        <v>245</v>
      </c>
      <c r="AW115" s="267">
        <v>1313</v>
      </c>
      <c r="AX115" s="124"/>
      <c r="AY115" s="255">
        <v>-4.1337209302325579</v>
      </c>
      <c r="AZ115" s="259">
        <v>99.994677170383781</v>
      </c>
      <c r="BA115" s="160">
        <v>-8412.7951256664128</v>
      </c>
      <c r="BB115" s="130"/>
      <c r="BC115" s="130"/>
      <c r="BD115" s="130"/>
      <c r="BE115" s="128">
        <v>8.6275356063875694</v>
      </c>
      <c r="BF115" s="160">
        <v>5382.3305407463822</v>
      </c>
      <c r="BG115" s="129">
        <v>108.03330636461705</v>
      </c>
      <c r="BH115" s="131">
        <v>16944.402132520947</v>
      </c>
      <c r="BI115" s="124"/>
      <c r="BJ115" s="117">
        <v>10030</v>
      </c>
      <c r="BK115" s="117">
        <v>20690</v>
      </c>
      <c r="BL115" s="161">
        <v>0</v>
      </c>
      <c r="BM115" s="161">
        <v>-10660</v>
      </c>
      <c r="BN115" s="117">
        <v>4415</v>
      </c>
      <c r="BO115" s="117">
        <v>4342</v>
      </c>
      <c r="BP115" s="136"/>
      <c r="BR115" s="160">
        <v>-11</v>
      </c>
      <c r="BS115" s="160">
        <v>473</v>
      </c>
      <c r="BT115" s="161">
        <v>-1441</v>
      </c>
      <c r="BU115" s="125">
        <v>1223</v>
      </c>
      <c r="BV115" s="160">
        <v>196</v>
      </c>
      <c r="BX115" s="161">
        <v>-2468</v>
      </c>
      <c r="BY115" s="160">
        <v>38</v>
      </c>
      <c r="BZ115" s="160">
        <v>0</v>
      </c>
      <c r="CA115" s="160">
        <v>0</v>
      </c>
      <c r="CB115" s="160">
        <v>0</v>
      </c>
      <c r="CC115" s="160">
        <v>-2430</v>
      </c>
      <c r="CD115" s="160">
        <v>-4186</v>
      </c>
      <c r="CE115" s="116">
        <v>236</v>
      </c>
      <c r="CF115" s="150"/>
      <c r="CG115" s="160">
        <v>749</v>
      </c>
      <c r="CH115" s="160">
        <v>-325</v>
      </c>
      <c r="CI115" s="159">
        <v>-301</v>
      </c>
      <c r="CK115" s="124"/>
      <c r="CL115" s="161"/>
      <c r="CM115" s="124"/>
      <c r="CN115" s="265">
        <v>21.75</v>
      </c>
      <c r="CO115" s="130"/>
      <c r="CP115" s="116">
        <v>291</v>
      </c>
      <c r="CQ115" s="267">
        <v>1288</v>
      </c>
      <c r="CR115" s="124"/>
      <c r="CS115" s="268">
        <v>5.0789473684210522</v>
      </c>
      <c r="CT115" s="269">
        <v>110.43308100314125</v>
      </c>
      <c r="CU115" s="160">
        <v>-9803.5714285714294</v>
      </c>
      <c r="CV115" s="130"/>
      <c r="CW115" s="130"/>
      <c r="CX115" s="130"/>
      <c r="CY115" s="269">
        <v>3.0428148281123777</v>
      </c>
      <c r="CZ115" s="125">
        <v>6100.9316770186333</v>
      </c>
      <c r="DA115" s="125">
        <v>147.76003297099584</v>
      </c>
      <c r="DB115" s="273">
        <v>15070.652173913042</v>
      </c>
      <c r="DC115" s="124"/>
      <c r="DD115" s="117">
        <v>9632</v>
      </c>
      <c r="DE115" s="117">
        <v>18115</v>
      </c>
      <c r="DF115" s="117">
        <v>0</v>
      </c>
      <c r="DG115" s="117">
        <v>-8483</v>
      </c>
      <c r="DH115" s="117">
        <v>4657</v>
      </c>
      <c r="DI115" s="117">
        <v>5130</v>
      </c>
      <c r="DJ115" s="136"/>
      <c r="DL115" s="160">
        <v>36</v>
      </c>
      <c r="DM115" s="160">
        <v>185</v>
      </c>
      <c r="DN115" s="161">
        <v>1525</v>
      </c>
      <c r="DO115" s="116">
        <v>2889</v>
      </c>
      <c r="DP115" s="160">
        <v>0</v>
      </c>
      <c r="DR115" s="161">
        <v>-1364</v>
      </c>
      <c r="DS115" s="116">
        <v>448</v>
      </c>
      <c r="DT115" s="116">
        <v>-3</v>
      </c>
      <c r="DU115" s="116">
        <v>0</v>
      </c>
      <c r="DV115" s="116">
        <v>0</v>
      </c>
      <c r="DW115" s="160">
        <v>-919</v>
      </c>
      <c r="DX115" s="160">
        <v>-5004</v>
      </c>
      <c r="DY115" s="116">
        <v>-729</v>
      </c>
      <c r="DZ115" s="150"/>
      <c r="EA115" s="116">
        <v>-192</v>
      </c>
      <c r="EB115" s="116">
        <v>-285</v>
      </c>
      <c r="EC115" s="159">
        <v>-1616</v>
      </c>
      <c r="EE115" s="125"/>
      <c r="EF115" s="161"/>
      <c r="EG115" s="124"/>
      <c r="EH115" s="253">
        <v>22.5</v>
      </c>
      <c r="EI115" s="130"/>
      <c r="EJ115" s="125">
        <v>77</v>
      </c>
      <c r="EK115" s="116"/>
      <c r="EL115" s="159"/>
      <c r="EN115" s="116"/>
      <c r="EO115" s="116"/>
      <c r="EP115" s="159"/>
      <c r="EQ115" s="159">
        <v>-1758</v>
      </c>
      <c r="ER115" s="116">
        <v>33</v>
      </c>
      <c r="ES115" s="116">
        <v>43</v>
      </c>
      <c r="ET115" s="160">
        <v>-1247</v>
      </c>
      <c r="EU115" s="116">
        <v>0</v>
      </c>
      <c r="EV115" s="116">
        <v>710</v>
      </c>
      <c r="EW115" s="160">
        <v>-956</v>
      </c>
      <c r="EX115" s="160">
        <v>0</v>
      </c>
      <c r="EY115" s="160">
        <v>69</v>
      </c>
      <c r="EZ115" s="116">
        <v>760</v>
      </c>
      <c r="FA115" s="116">
        <v>1147</v>
      </c>
      <c r="FB115" s="116">
        <v>1140</v>
      </c>
      <c r="FC115" s="160">
        <v>-386</v>
      </c>
      <c r="FD115" s="116">
        <v>236</v>
      </c>
      <c r="FE115" s="116">
        <v>2625</v>
      </c>
      <c r="FF115" s="3">
        <v>16518</v>
      </c>
      <c r="FG115" s="3">
        <v>5004</v>
      </c>
      <c r="FH115" s="3">
        <v>11514</v>
      </c>
      <c r="FI115" s="3">
        <v>65</v>
      </c>
      <c r="FJ115" s="125">
        <v>16990</v>
      </c>
      <c r="FK115" s="160">
        <v>5914</v>
      </c>
      <c r="FL115" s="125">
        <v>11076</v>
      </c>
      <c r="FM115" s="116">
        <v>65</v>
      </c>
      <c r="FN115" s="125">
        <v>19608</v>
      </c>
      <c r="FO115" s="116">
        <v>5948</v>
      </c>
      <c r="FP115" s="116">
        <v>13660</v>
      </c>
      <c r="FQ115" s="116">
        <v>-192</v>
      </c>
      <c r="FR115" s="153">
        <v>2352</v>
      </c>
      <c r="FS115" s="153">
        <v>2318</v>
      </c>
      <c r="FT115" s="276">
        <v>78</v>
      </c>
      <c r="FU115" s="3">
        <v>3953</v>
      </c>
      <c r="FV115" s="159">
        <v>3707</v>
      </c>
      <c r="FW115" s="170"/>
      <c r="FZ115" s="155"/>
      <c r="GA115" s="2"/>
      <c r="GD115" s="163"/>
      <c r="GE115" s="2"/>
      <c r="GF115" s="2"/>
    </row>
    <row r="116" spans="1:188" ht="14.5" x14ac:dyDescent="0.35">
      <c r="A116" s="72">
        <v>316</v>
      </c>
      <c r="B116" s="70" t="s">
        <v>112</v>
      </c>
      <c r="C116" s="158">
        <v>4451</v>
      </c>
      <c r="D116" s="171"/>
      <c r="E116" s="128">
        <v>1.0622754491017965</v>
      </c>
      <c r="F116" s="128">
        <v>32.63086753502089</v>
      </c>
      <c r="G116" s="129">
        <v>-2017.9734891035723</v>
      </c>
      <c r="H116" s="216"/>
      <c r="I116" s="172"/>
      <c r="J116" s="218"/>
      <c r="K116" s="128">
        <v>40.908301191841275</v>
      </c>
      <c r="L116" s="129">
        <v>902.71849022691526</v>
      </c>
      <c r="M116" s="129">
        <v>29.327880654321479</v>
      </c>
      <c r="N116" s="129">
        <v>11234.778701415411</v>
      </c>
      <c r="O116" s="129"/>
      <c r="P116" s="117">
        <v>25304</v>
      </c>
      <c r="Q116" s="161">
        <v>47952</v>
      </c>
      <c r="R116" s="161">
        <v>-2</v>
      </c>
      <c r="S116" s="161">
        <v>-22650</v>
      </c>
      <c r="T116" s="124">
        <v>15663</v>
      </c>
      <c r="U116" s="124">
        <v>7861</v>
      </c>
      <c r="V116" s="136"/>
      <c r="X116" s="116">
        <v>-142</v>
      </c>
      <c r="Y116" s="116">
        <v>11</v>
      </c>
      <c r="Z116" s="161">
        <v>743</v>
      </c>
      <c r="AA116" s="116">
        <v>1482</v>
      </c>
      <c r="AB116" s="116">
        <v>173</v>
      </c>
      <c r="AD116" s="161">
        <v>-566</v>
      </c>
      <c r="AE116" s="116">
        <v>-4</v>
      </c>
      <c r="AF116" s="116">
        <v>0</v>
      </c>
      <c r="AG116" s="116">
        <v>-1</v>
      </c>
      <c r="AH116" s="116">
        <v>-2</v>
      </c>
      <c r="AI116" s="160">
        <v>-573</v>
      </c>
      <c r="AJ116" s="161">
        <v>1275</v>
      </c>
      <c r="AK116" s="161">
        <v>901</v>
      </c>
      <c r="AL116" s="150"/>
      <c r="AM116" s="161">
        <v>800</v>
      </c>
      <c r="AN116" s="161">
        <v>-691</v>
      </c>
      <c r="AO116" s="160">
        <v>-228</v>
      </c>
      <c r="AQ116" s="160"/>
      <c r="AR116" s="117"/>
      <c r="AS116" s="117"/>
      <c r="AT116" s="99">
        <v>21.75</v>
      </c>
      <c r="AU116" s="130"/>
      <c r="AV116" s="262">
        <v>255</v>
      </c>
      <c r="AW116" s="267">
        <v>4368</v>
      </c>
      <c r="AX116" s="124"/>
      <c r="AY116" s="255">
        <v>1.3099273607748183</v>
      </c>
      <c r="AZ116" s="259">
        <v>51.338441635983678</v>
      </c>
      <c r="BA116" s="160">
        <v>-3235.1190476190473</v>
      </c>
      <c r="BB116" s="130"/>
      <c r="BC116" s="130"/>
      <c r="BD116" s="130"/>
      <c r="BE116" s="128">
        <v>30.187837766934258</v>
      </c>
      <c r="BF116" s="160">
        <v>2002.0604395604398</v>
      </c>
      <c r="BG116" s="129">
        <v>25.995178758175729</v>
      </c>
      <c r="BH116" s="131">
        <v>12915.979853479854</v>
      </c>
      <c r="BI116" s="124"/>
      <c r="BJ116" s="117">
        <v>25747</v>
      </c>
      <c r="BK116" s="117">
        <v>49311</v>
      </c>
      <c r="BL116" s="161">
        <v>8</v>
      </c>
      <c r="BM116" s="161">
        <v>-23556</v>
      </c>
      <c r="BN116" s="117">
        <v>15837</v>
      </c>
      <c r="BO116" s="117">
        <v>8661</v>
      </c>
      <c r="BP116" s="136"/>
      <c r="BR116" s="160">
        <v>-131</v>
      </c>
      <c r="BS116" s="160">
        <v>137</v>
      </c>
      <c r="BT116" s="161">
        <v>948</v>
      </c>
      <c r="BU116" s="125">
        <v>1508</v>
      </c>
      <c r="BV116" s="160">
        <v>-26</v>
      </c>
      <c r="BX116" s="161">
        <v>-586</v>
      </c>
      <c r="BY116" s="160">
        <v>-8</v>
      </c>
      <c r="BZ116" s="160">
        <v>0</v>
      </c>
      <c r="CA116" s="160">
        <v>7</v>
      </c>
      <c r="CB116" s="160">
        <v>0</v>
      </c>
      <c r="CC116" s="160">
        <v>-601</v>
      </c>
      <c r="CD116" s="160">
        <v>921</v>
      </c>
      <c r="CE116" s="116">
        <v>696</v>
      </c>
      <c r="CF116" s="150"/>
      <c r="CG116" s="161">
        <v>13</v>
      </c>
      <c r="CH116" s="160">
        <v>-692</v>
      </c>
      <c r="CI116" s="159">
        <v>-5325</v>
      </c>
      <c r="CK116" s="124"/>
      <c r="CL116" s="161"/>
      <c r="CM116" s="124"/>
      <c r="CN116" s="265">
        <v>22</v>
      </c>
      <c r="CO116" s="130"/>
      <c r="CP116" s="116">
        <v>235</v>
      </c>
      <c r="CQ116" s="267">
        <v>4326</v>
      </c>
      <c r="CR116" s="124"/>
      <c r="CS116" s="268">
        <v>9.6163636363636371</v>
      </c>
      <c r="CT116" s="269">
        <v>44.992370389668388</v>
      </c>
      <c r="CU116" s="160">
        <v>-3059.8705501618124</v>
      </c>
      <c r="CV116" s="130"/>
      <c r="CW116" s="130"/>
      <c r="CX116" s="130"/>
      <c r="CY116" s="269">
        <v>37.715753766337421</v>
      </c>
      <c r="CZ116" s="125">
        <v>1848.8210818307907</v>
      </c>
      <c r="DA116" s="125">
        <v>53.989569270033847</v>
      </c>
      <c r="DB116" s="273">
        <v>12499.07535829866</v>
      </c>
      <c r="DC116" s="124"/>
      <c r="DD116" s="117">
        <v>25944</v>
      </c>
      <c r="DE116" s="117">
        <v>48606</v>
      </c>
      <c r="DF116" s="117">
        <v>2</v>
      </c>
      <c r="DG116" s="117">
        <v>-22660</v>
      </c>
      <c r="DH116" s="117">
        <v>17228</v>
      </c>
      <c r="DI116" s="117">
        <v>10566</v>
      </c>
      <c r="DJ116" s="136"/>
      <c r="DL116" s="160">
        <v>-44</v>
      </c>
      <c r="DM116" s="160">
        <v>154</v>
      </c>
      <c r="DN116" s="161">
        <v>5244</v>
      </c>
      <c r="DO116" s="116">
        <v>1599</v>
      </c>
      <c r="DP116" s="160">
        <v>0</v>
      </c>
      <c r="DR116" s="161">
        <v>3645</v>
      </c>
      <c r="DS116" s="116">
        <v>-5</v>
      </c>
      <c r="DT116" s="116">
        <v>0</v>
      </c>
      <c r="DU116" s="116">
        <v>4</v>
      </c>
      <c r="DV116" s="116">
        <v>0</v>
      </c>
      <c r="DW116" s="160">
        <v>3636</v>
      </c>
      <c r="DX116" s="160">
        <v>4545</v>
      </c>
      <c r="DY116" s="116">
        <v>5156</v>
      </c>
      <c r="DZ116" s="150"/>
      <c r="EA116" s="117">
        <v>9</v>
      </c>
      <c r="EB116" s="116">
        <v>-505</v>
      </c>
      <c r="EC116" s="159">
        <v>961</v>
      </c>
      <c r="EE116" s="125"/>
      <c r="EF116" s="161"/>
      <c r="EG116" s="124"/>
      <c r="EH116" s="253">
        <v>22</v>
      </c>
      <c r="EI116" s="130"/>
      <c r="EJ116" s="125">
        <v>71</v>
      </c>
      <c r="EK116" s="116"/>
      <c r="EL116" s="159"/>
      <c r="EN116" s="116"/>
      <c r="EO116" s="116"/>
      <c r="EP116" s="159"/>
      <c r="EQ116" s="159">
        <v>-1188</v>
      </c>
      <c r="ER116" s="116">
        <v>6</v>
      </c>
      <c r="ES116" s="116">
        <v>53</v>
      </c>
      <c r="ET116" s="160">
        <v>-6253</v>
      </c>
      <c r="EU116" s="116">
        <v>2</v>
      </c>
      <c r="EV116" s="116">
        <v>230</v>
      </c>
      <c r="EW116" s="160">
        <v>-4898</v>
      </c>
      <c r="EX116" s="160">
        <v>604</v>
      </c>
      <c r="EY116" s="160">
        <v>99</v>
      </c>
      <c r="EZ116" s="116">
        <v>26</v>
      </c>
      <c r="FA116" s="116">
        <v>0</v>
      </c>
      <c r="FB116" s="116">
        <v>8</v>
      </c>
      <c r="FC116" s="160">
        <v>10003</v>
      </c>
      <c r="FD116" s="116">
        <v>6000</v>
      </c>
      <c r="FE116" s="116">
        <v>-6505</v>
      </c>
      <c r="FF116" s="3">
        <v>9321</v>
      </c>
      <c r="FG116" s="3">
        <v>8629</v>
      </c>
      <c r="FH116" s="3">
        <v>692</v>
      </c>
      <c r="FI116" s="3">
        <v>49</v>
      </c>
      <c r="FJ116" s="125">
        <v>18638</v>
      </c>
      <c r="FK116" s="160">
        <v>8076</v>
      </c>
      <c r="FL116" s="125">
        <v>10562</v>
      </c>
      <c r="FM116" s="116">
        <v>43</v>
      </c>
      <c r="FN116" s="125">
        <v>17628</v>
      </c>
      <c r="FO116" s="116">
        <v>12896</v>
      </c>
      <c r="FP116" s="116">
        <v>4732</v>
      </c>
      <c r="FQ116" s="116">
        <v>9</v>
      </c>
      <c r="FR116" s="153">
        <v>863</v>
      </c>
      <c r="FS116" s="153">
        <v>822</v>
      </c>
      <c r="FT116" s="276">
        <v>805</v>
      </c>
      <c r="FU116" s="3">
        <v>15713</v>
      </c>
      <c r="FV116" s="159">
        <v>15196</v>
      </c>
      <c r="FW116" s="170"/>
      <c r="FZ116" s="155"/>
      <c r="GA116" s="2"/>
      <c r="GD116" s="163"/>
      <c r="GE116" s="2"/>
      <c r="GF116" s="2"/>
    </row>
    <row r="117" spans="1:188" ht="14.5" x14ac:dyDescent="0.35">
      <c r="A117" s="72">
        <v>317</v>
      </c>
      <c r="B117" s="70" t="s">
        <v>113</v>
      </c>
      <c r="C117" s="158">
        <v>2613</v>
      </c>
      <c r="D117" s="171"/>
      <c r="E117" s="128">
        <v>1.0540115364446776</v>
      </c>
      <c r="F117" s="128">
        <v>68.254683424235239</v>
      </c>
      <c r="G117" s="129">
        <v>-4100.6505931879065</v>
      </c>
      <c r="H117" s="216"/>
      <c r="I117" s="172"/>
      <c r="J117" s="218"/>
      <c r="K117" s="128">
        <v>29.765645613950923</v>
      </c>
      <c r="L117" s="129">
        <v>4514.7340221967088</v>
      </c>
      <c r="M117" s="129">
        <v>96.835897089911384</v>
      </c>
      <c r="N117" s="129">
        <v>17017.221584385763</v>
      </c>
      <c r="O117" s="129"/>
      <c r="P117" s="117">
        <v>22956</v>
      </c>
      <c r="Q117" s="161">
        <v>40419</v>
      </c>
      <c r="R117" s="161">
        <v>1</v>
      </c>
      <c r="S117" s="161">
        <v>-17462</v>
      </c>
      <c r="T117" s="124">
        <v>6977</v>
      </c>
      <c r="U117" s="124">
        <v>12237</v>
      </c>
      <c r="V117" s="136"/>
      <c r="X117" s="116">
        <v>-76</v>
      </c>
      <c r="Y117" s="116">
        <v>235</v>
      </c>
      <c r="Z117" s="161">
        <v>1911</v>
      </c>
      <c r="AA117" s="116">
        <v>1528</v>
      </c>
      <c r="AB117" s="116">
        <v>189</v>
      </c>
      <c r="AD117" s="161">
        <v>572</v>
      </c>
      <c r="AE117" s="116">
        <v>-1</v>
      </c>
      <c r="AF117" s="116">
        <v>-5</v>
      </c>
      <c r="AG117" s="116">
        <v>-4</v>
      </c>
      <c r="AH117" s="116">
        <v>-1</v>
      </c>
      <c r="AI117" s="160">
        <v>561</v>
      </c>
      <c r="AJ117" s="161">
        <v>5675</v>
      </c>
      <c r="AK117" s="161">
        <v>1821</v>
      </c>
      <c r="AL117" s="150"/>
      <c r="AM117" s="161">
        <v>-3591</v>
      </c>
      <c r="AN117" s="161">
        <v>-1808</v>
      </c>
      <c r="AO117" s="160">
        <v>889</v>
      </c>
      <c r="AQ117" s="160"/>
      <c r="AR117" s="117"/>
      <c r="AS117" s="117"/>
      <c r="AT117" s="99">
        <v>21.5</v>
      </c>
      <c r="AU117" s="130"/>
      <c r="AV117" s="262">
        <v>67</v>
      </c>
      <c r="AW117" s="267">
        <v>2576</v>
      </c>
      <c r="AX117" s="124"/>
      <c r="AY117" s="255">
        <v>1.7325505544683626</v>
      </c>
      <c r="AZ117" s="259">
        <v>64.952529714690158</v>
      </c>
      <c r="BA117" s="160">
        <v>-4612.5776397515529</v>
      </c>
      <c r="BB117" s="130"/>
      <c r="BC117" s="130"/>
      <c r="BD117" s="130"/>
      <c r="BE117" s="128">
        <v>32.587875320281597</v>
      </c>
      <c r="BF117" s="160">
        <v>4681.6770186335407</v>
      </c>
      <c r="BG117" s="129">
        <v>90.932433579492397</v>
      </c>
      <c r="BH117" s="131">
        <v>18293.478260869568</v>
      </c>
      <c r="BI117" s="124"/>
      <c r="BJ117" s="117">
        <v>21843</v>
      </c>
      <c r="BK117" s="117">
        <v>38943</v>
      </c>
      <c r="BL117" s="161">
        <v>1</v>
      </c>
      <c r="BM117" s="161">
        <v>-17099</v>
      </c>
      <c r="BN117" s="117">
        <v>7458</v>
      </c>
      <c r="BO117" s="117">
        <v>11672</v>
      </c>
      <c r="BP117" s="136"/>
      <c r="BR117" s="160">
        <v>-108</v>
      </c>
      <c r="BS117" s="160">
        <v>614</v>
      </c>
      <c r="BT117" s="161">
        <v>2537</v>
      </c>
      <c r="BU117" s="125">
        <v>1824</v>
      </c>
      <c r="BV117" s="160">
        <v>0</v>
      </c>
      <c r="BX117" s="161">
        <v>713</v>
      </c>
      <c r="BY117" s="160">
        <v>0</v>
      </c>
      <c r="BZ117" s="160">
        <v>-1</v>
      </c>
      <c r="CA117" s="160">
        <v>6</v>
      </c>
      <c r="CB117" s="160">
        <v>-1</v>
      </c>
      <c r="CC117" s="160">
        <v>705</v>
      </c>
      <c r="CD117" s="160">
        <v>6633</v>
      </c>
      <c r="CE117" s="116">
        <v>2517</v>
      </c>
      <c r="CF117" s="150"/>
      <c r="CG117" s="160">
        <v>3570</v>
      </c>
      <c r="CH117" s="160">
        <v>-1414</v>
      </c>
      <c r="CI117" s="159">
        <v>-3390</v>
      </c>
      <c r="CK117" s="124"/>
      <c r="CL117" s="161"/>
      <c r="CM117" s="124"/>
      <c r="CN117" s="265">
        <v>21.5</v>
      </c>
      <c r="CO117" s="130"/>
      <c r="CP117" s="116">
        <v>23</v>
      </c>
      <c r="CQ117" s="267">
        <v>2538</v>
      </c>
      <c r="CR117" s="124"/>
      <c r="CS117" s="268">
        <v>1.9084832904884319</v>
      </c>
      <c r="CT117" s="269">
        <v>65.761714151165535</v>
      </c>
      <c r="CU117" s="160">
        <v>-4604.8069345941685</v>
      </c>
      <c r="CV117" s="130"/>
      <c r="CW117" s="130"/>
      <c r="CX117" s="130"/>
      <c r="CY117" s="269">
        <v>34.231063149850634</v>
      </c>
      <c r="CZ117" s="125">
        <v>5414.4996059889672</v>
      </c>
      <c r="DA117" s="125">
        <v>110.36415243795108</v>
      </c>
      <c r="DB117" s="273">
        <v>17907.0133963751</v>
      </c>
      <c r="DC117" s="124"/>
      <c r="DD117" s="117">
        <v>22652</v>
      </c>
      <c r="DE117" s="117">
        <v>39672</v>
      </c>
      <c r="DF117" s="117">
        <v>3</v>
      </c>
      <c r="DG117" s="117">
        <v>-17017</v>
      </c>
      <c r="DH117" s="117">
        <v>6983</v>
      </c>
      <c r="DI117" s="117">
        <v>12835</v>
      </c>
      <c r="DJ117" s="136"/>
      <c r="DL117" s="160">
        <v>-126</v>
      </c>
      <c r="DM117" s="160">
        <v>899</v>
      </c>
      <c r="DN117" s="161">
        <v>3574</v>
      </c>
      <c r="DO117" s="116">
        <v>1864</v>
      </c>
      <c r="DP117" s="160">
        <v>0</v>
      </c>
      <c r="DR117" s="161">
        <v>1710</v>
      </c>
      <c r="DS117" s="116">
        <v>-1</v>
      </c>
      <c r="DT117" s="116">
        <v>-9</v>
      </c>
      <c r="DU117" s="116">
        <v>3</v>
      </c>
      <c r="DV117" s="116">
        <v>-2</v>
      </c>
      <c r="DW117" s="160">
        <v>1695</v>
      </c>
      <c r="DX117" s="160">
        <v>8303</v>
      </c>
      <c r="DY117" s="116">
        <v>3436</v>
      </c>
      <c r="DZ117" s="150"/>
      <c r="EA117" s="116">
        <v>171</v>
      </c>
      <c r="EB117" s="116">
        <v>-1807</v>
      </c>
      <c r="EC117" s="159">
        <v>230</v>
      </c>
      <c r="EE117" s="125"/>
      <c r="EF117" s="161"/>
      <c r="EG117" s="124"/>
      <c r="EH117" s="253">
        <v>21.5</v>
      </c>
      <c r="EI117" s="130"/>
      <c r="EJ117" s="125">
        <v>32</v>
      </c>
      <c r="EK117" s="116"/>
      <c r="EL117" s="159"/>
      <c r="EN117" s="116"/>
      <c r="EO117" s="116"/>
      <c r="EP117" s="159"/>
      <c r="EQ117" s="159">
        <v>-1661</v>
      </c>
      <c r="ER117" s="116">
        <v>174</v>
      </c>
      <c r="ES117" s="116">
        <v>555</v>
      </c>
      <c r="ET117" s="160">
        <v>-6095</v>
      </c>
      <c r="EU117" s="116">
        <v>166</v>
      </c>
      <c r="EV117" s="116">
        <v>22</v>
      </c>
      <c r="EW117" s="160">
        <v>-3609</v>
      </c>
      <c r="EX117" s="160">
        <v>5</v>
      </c>
      <c r="EY117" s="160">
        <v>398</v>
      </c>
      <c r="EZ117" s="116">
        <v>251</v>
      </c>
      <c r="FA117" s="116">
        <v>553</v>
      </c>
      <c r="FB117" s="116">
        <v>3601</v>
      </c>
      <c r="FC117" s="160">
        <v>842</v>
      </c>
      <c r="FD117" s="116">
        <v>6316</v>
      </c>
      <c r="FE117" s="116">
        <v>-3408</v>
      </c>
      <c r="FF117" s="3">
        <v>19560</v>
      </c>
      <c r="FG117" s="3">
        <v>13657</v>
      </c>
      <c r="FH117" s="3">
        <v>5903</v>
      </c>
      <c r="FI117" s="3">
        <v>92</v>
      </c>
      <c r="FJ117" s="125">
        <v>20990</v>
      </c>
      <c r="FK117" s="160">
        <v>14434</v>
      </c>
      <c r="FL117" s="125">
        <v>6556</v>
      </c>
      <c r="FM117" s="116">
        <v>101</v>
      </c>
      <c r="FN117" s="125">
        <v>22270</v>
      </c>
      <c r="FO117" s="116">
        <v>19449</v>
      </c>
      <c r="FP117" s="116">
        <v>2821</v>
      </c>
      <c r="FQ117" s="116">
        <v>171</v>
      </c>
      <c r="FR117" s="153">
        <v>2620</v>
      </c>
      <c r="FS117" s="153">
        <v>2008</v>
      </c>
      <c r="FT117" s="276">
        <v>1908</v>
      </c>
      <c r="FU117" s="3">
        <v>435</v>
      </c>
      <c r="FV117" s="159">
        <v>844</v>
      </c>
      <c r="FW117" s="170"/>
      <c r="FZ117" s="155"/>
      <c r="GA117" s="2"/>
      <c r="GD117" s="163"/>
      <c r="GE117" s="2"/>
      <c r="GF117" s="2"/>
    </row>
    <row r="118" spans="1:188" ht="14.5" x14ac:dyDescent="0.35">
      <c r="A118" s="72">
        <v>398</v>
      </c>
      <c r="B118" s="70" t="s">
        <v>115</v>
      </c>
      <c r="C118" s="158">
        <v>119951</v>
      </c>
      <c r="D118" s="171"/>
      <c r="E118" s="128">
        <v>1.7392473655795726</v>
      </c>
      <c r="F118" s="128">
        <v>107.71711994847557</v>
      </c>
      <c r="G118" s="129">
        <v>-9820.0932047252627</v>
      </c>
      <c r="H118" s="217"/>
      <c r="I118" s="172"/>
      <c r="J118" s="218"/>
      <c r="K118" s="128">
        <v>30.353011933384508</v>
      </c>
      <c r="L118" s="129">
        <v>1199.1229752148793</v>
      </c>
      <c r="M118" s="129">
        <v>34.54674787653223</v>
      </c>
      <c r="N118" s="129">
        <v>12669.206592692015</v>
      </c>
      <c r="O118" s="129"/>
      <c r="P118" s="117">
        <v>630995</v>
      </c>
      <c r="Q118" s="161">
        <v>1145546</v>
      </c>
      <c r="R118" s="161">
        <v>-11</v>
      </c>
      <c r="S118" s="161">
        <v>-514562</v>
      </c>
      <c r="T118" s="124">
        <v>460249</v>
      </c>
      <c r="U118" s="124">
        <v>225413</v>
      </c>
      <c r="V118" s="136"/>
      <c r="X118" s="116">
        <v>-17345</v>
      </c>
      <c r="Y118" s="116">
        <v>1125</v>
      </c>
      <c r="Z118" s="161">
        <v>154880</v>
      </c>
      <c r="AA118" s="116">
        <v>127681</v>
      </c>
      <c r="AB118" s="116">
        <v>3106</v>
      </c>
      <c r="AD118" s="161">
        <v>30305</v>
      </c>
      <c r="AE118" s="116">
        <v>-43</v>
      </c>
      <c r="AF118" s="116">
        <v>-122</v>
      </c>
      <c r="AG118" s="116">
        <v>-6640</v>
      </c>
      <c r="AH118" s="116">
        <v>-3619</v>
      </c>
      <c r="AI118" s="160">
        <v>19881</v>
      </c>
      <c r="AJ118" s="161">
        <v>182621</v>
      </c>
      <c r="AK118" s="161">
        <v>128155</v>
      </c>
      <c r="AL118" s="150"/>
      <c r="AM118" s="161">
        <v>10732</v>
      </c>
      <c r="AN118" s="161">
        <v>-80939</v>
      </c>
      <c r="AO118" s="160">
        <v>-100698</v>
      </c>
      <c r="AQ118" s="160"/>
      <c r="AR118" s="117"/>
      <c r="AS118" s="117"/>
      <c r="AT118" s="99">
        <v>20.75</v>
      </c>
      <c r="AU118" s="130"/>
      <c r="AV118" s="262">
        <v>9</v>
      </c>
      <c r="AW118" s="267">
        <v>119823</v>
      </c>
      <c r="AX118" s="124"/>
      <c r="AY118" s="255">
        <v>1.7041479794024821</v>
      </c>
      <c r="AZ118" s="259">
        <v>109.93096332711245</v>
      </c>
      <c r="BA118" s="160">
        <v>-10623.911936773407</v>
      </c>
      <c r="BB118" s="130"/>
      <c r="BC118" s="130"/>
      <c r="BD118" s="130"/>
      <c r="BE118" s="128">
        <v>30.255949831131581</v>
      </c>
      <c r="BF118" s="160">
        <v>652.27043222085911</v>
      </c>
      <c r="BG118" s="129">
        <v>34.537520804689194</v>
      </c>
      <c r="BH118" s="131">
        <v>12686.128706508765</v>
      </c>
      <c r="BI118" s="124"/>
      <c r="BJ118" s="117">
        <v>616971</v>
      </c>
      <c r="BK118" s="117">
        <v>1177824</v>
      </c>
      <c r="BL118" s="161">
        <v>-9</v>
      </c>
      <c r="BM118" s="161">
        <v>-560862</v>
      </c>
      <c r="BN118" s="117">
        <v>471650</v>
      </c>
      <c r="BO118" s="117">
        <v>229519</v>
      </c>
      <c r="BP118" s="136"/>
      <c r="BR118" s="160">
        <v>-19610</v>
      </c>
      <c r="BS118" s="160">
        <v>2811</v>
      </c>
      <c r="BT118" s="161">
        <v>123508</v>
      </c>
      <c r="BU118" s="125">
        <v>117359</v>
      </c>
      <c r="BV118" s="160">
        <v>-414</v>
      </c>
      <c r="BX118" s="161">
        <v>5735</v>
      </c>
      <c r="BY118" s="160">
        <v>-894</v>
      </c>
      <c r="BZ118" s="160">
        <v>-3</v>
      </c>
      <c r="CA118" s="160">
        <v>5493</v>
      </c>
      <c r="CB118" s="160">
        <v>-2397</v>
      </c>
      <c r="CC118" s="160">
        <v>-3052</v>
      </c>
      <c r="CD118" s="160">
        <v>176963</v>
      </c>
      <c r="CE118" s="116">
        <v>113629</v>
      </c>
      <c r="CF118" s="150"/>
      <c r="CG118" s="160">
        <v>-1459</v>
      </c>
      <c r="CH118" s="160">
        <v>-64161</v>
      </c>
      <c r="CI118" s="159">
        <v>-97853</v>
      </c>
      <c r="CK118" s="124"/>
      <c r="CL118" s="161"/>
      <c r="CM118" s="124"/>
      <c r="CN118" s="265">
        <v>20.75</v>
      </c>
      <c r="CO118" s="130"/>
      <c r="CP118" s="116">
        <v>17</v>
      </c>
      <c r="CQ118" s="267">
        <v>119984</v>
      </c>
      <c r="CR118" s="124"/>
      <c r="CS118" s="268">
        <v>2.4927466959826017</v>
      </c>
      <c r="CT118" s="269">
        <v>111.14051723882871</v>
      </c>
      <c r="CU118" s="160">
        <v>-10603.405454060541</v>
      </c>
      <c r="CV118" s="130"/>
      <c r="CW118" s="130"/>
      <c r="CX118" s="130"/>
      <c r="CY118" s="269">
        <v>31.680398535267351</v>
      </c>
      <c r="CZ118" s="125">
        <v>1145.1943592478997</v>
      </c>
      <c r="DA118" s="125">
        <v>30.976354915296948</v>
      </c>
      <c r="DB118" s="273">
        <v>13494.03253767169</v>
      </c>
      <c r="DC118" s="124"/>
      <c r="DD118" s="117">
        <v>569747</v>
      </c>
      <c r="DE118" s="117">
        <v>1144103</v>
      </c>
      <c r="DF118" s="117">
        <v>-763</v>
      </c>
      <c r="DG118" s="117">
        <v>-575119</v>
      </c>
      <c r="DH118" s="117">
        <v>500220</v>
      </c>
      <c r="DI118" s="117">
        <v>281981</v>
      </c>
      <c r="DJ118" s="136"/>
      <c r="DL118" s="160">
        <v>-18851</v>
      </c>
      <c r="DM118" s="160">
        <v>1111</v>
      </c>
      <c r="DN118" s="161">
        <v>189342</v>
      </c>
      <c r="DO118" s="116">
        <v>123654</v>
      </c>
      <c r="DP118" s="160">
        <v>18297</v>
      </c>
      <c r="DR118" s="161">
        <v>83985</v>
      </c>
      <c r="DS118" s="116">
        <v>-126</v>
      </c>
      <c r="DT118" s="116">
        <v>-138</v>
      </c>
      <c r="DU118" s="116">
        <v>1471</v>
      </c>
      <c r="DV118" s="116">
        <v>-4688</v>
      </c>
      <c r="DW118" s="160">
        <v>77562</v>
      </c>
      <c r="DX118" s="160">
        <v>249993</v>
      </c>
      <c r="DY118" s="116">
        <v>201625</v>
      </c>
      <c r="DZ118" s="150"/>
      <c r="EA118" s="116">
        <v>6056</v>
      </c>
      <c r="EB118" s="116">
        <v>-64420</v>
      </c>
      <c r="EC118" s="159">
        <v>6009</v>
      </c>
      <c r="EE118" s="125"/>
      <c r="EF118" s="161"/>
      <c r="EG118" s="124"/>
      <c r="EH118" s="253">
        <v>20.75</v>
      </c>
      <c r="EI118" s="130"/>
      <c r="EJ118" s="125">
        <v>18</v>
      </c>
      <c r="EK118" s="116"/>
      <c r="EL118" s="159"/>
      <c r="EN118" s="116"/>
      <c r="EO118" s="116"/>
      <c r="EP118" s="159"/>
      <c r="EQ118" s="159">
        <v>-272918</v>
      </c>
      <c r="ER118" s="116">
        <v>653</v>
      </c>
      <c r="ES118" s="116">
        <v>43412</v>
      </c>
      <c r="ET118" s="160">
        <v>-253956</v>
      </c>
      <c r="EU118" s="116">
        <v>628</v>
      </c>
      <c r="EV118" s="116">
        <v>41846</v>
      </c>
      <c r="EW118" s="160">
        <v>-386831</v>
      </c>
      <c r="EX118" s="160">
        <v>1383</v>
      </c>
      <c r="EY118" s="160">
        <v>189832</v>
      </c>
      <c r="EZ118" s="116">
        <v>171747</v>
      </c>
      <c r="FA118" s="116">
        <v>-27422</v>
      </c>
      <c r="FB118" s="116">
        <v>95691</v>
      </c>
      <c r="FC118" s="160">
        <v>16</v>
      </c>
      <c r="FD118" s="116">
        <v>106057</v>
      </c>
      <c r="FE118" s="116">
        <v>8894</v>
      </c>
      <c r="FF118" s="3">
        <v>1161404</v>
      </c>
      <c r="FG118" s="3">
        <v>1097740</v>
      </c>
      <c r="FH118" s="3">
        <v>63664</v>
      </c>
      <c r="FI118" s="3">
        <v>23791</v>
      </c>
      <c r="FJ118" s="125">
        <v>1192951</v>
      </c>
      <c r="FK118" s="160">
        <v>1130329</v>
      </c>
      <c r="FL118" s="125">
        <v>62622</v>
      </c>
      <c r="FM118" s="116">
        <v>23246</v>
      </c>
      <c r="FN118" s="125">
        <v>1243522</v>
      </c>
      <c r="FO118" s="116">
        <v>1176487</v>
      </c>
      <c r="FP118" s="116">
        <v>67035</v>
      </c>
      <c r="FQ118" s="116">
        <v>6056</v>
      </c>
      <c r="FR118" s="153">
        <v>0</v>
      </c>
      <c r="FS118" s="153">
        <v>0</v>
      </c>
      <c r="FT118" s="276">
        <v>0</v>
      </c>
      <c r="FU118" s="3">
        <v>84444</v>
      </c>
      <c r="FV118" s="159">
        <v>287536</v>
      </c>
      <c r="FW118" s="170"/>
      <c r="FZ118" s="155"/>
      <c r="GA118" s="2"/>
      <c r="GD118" s="163"/>
      <c r="GE118" s="2"/>
      <c r="GF118" s="2"/>
    </row>
    <row r="119" spans="1:188" ht="14.5" x14ac:dyDescent="0.35">
      <c r="A119" s="72">
        <v>399</v>
      </c>
      <c r="B119" s="70" t="s">
        <v>116</v>
      </c>
      <c r="C119" s="158">
        <v>8058</v>
      </c>
      <c r="D119" s="171"/>
      <c r="E119" s="128">
        <v>0.49519846350832264</v>
      </c>
      <c r="F119" s="128">
        <v>81.032035846980591</v>
      </c>
      <c r="G119" s="129">
        <v>-5371.5562174236784</v>
      </c>
      <c r="H119" s="216"/>
      <c r="I119" s="172"/>
      <c r="J119" s="218"/>
      <c r="K119" s="128">
        <v>24.952470134218665</v>
      </c>
      <c r="L119" s="129">
        <v>340.77934971456938</v>
      </c>
      <c r="M119" s="129">
        <v>14.139662834168018</v>
      </c>
      <c r="N119" s="129">
        <v>8796.8478530652774</v>
      </c>
      <c r="O119" s="129"/>
      <c r="P119" s="117">
        <v>18535</v>
      </c>
      <c r="Q119" s="161">
        <v>61225</v>
      </c>
      <c r="R119" s="161">
        <v>0</v>
      </c>
      <c r="S119" s="161">
        <v>-42690</v>
      </c>
      <c r="T119" s="124">
        <v>29126</v>
      </c>
      <c r="U119" s="124">
        <v>15050</v>
      </c>
      <c r="V119" s="136"/>
      <c r="X119" s="116">
        <v>-243</v>
      </c>
      <c r="Y119" s="116">
        <v>59</v>
      </c>
      <c r="Z119" s="161">
        <v>1302</v>
      </c>
      <c r="AA119" s="116">
        <v>3075</v>
      </c>
      <c r="AB119" s="116">
        <v>0</v>
      </c>
      <c r="AD119" s="161">
        <v>-1773</v>
      </c>
      <c r="AE119" s="117">
        <v>20</v>
      </c>
      <c r="AF119" s="117">
        <v>0</v>
      </c>
      <c r="AG119" s="116">
        <v>0</v>
      </c>
      <c r="AH119" s="117">
        <v>-12</v>
      </c>
      <c r="AI119" s="160">
        <v>-1765</v>
      </c>
      <c r="AJ119" s="161">
        <v>-2078</v>
      </c>
      <c r="AK119" s="161">
        <v>1077</v>
      </c>
      <c r="AL119" s="150"/>
      <c r="AM119" s="161">
        <v>-1984</v>
      </c>
      <c r="AN119" s="161">
        <v>-2879</v>
      </c>
      <c r="AO119" s="160">
        <v>-2799</v>
      </c>
      <c r="AQ119" s="160"/>
      <c r="AR119" s="117"/>
      <c r="AS119" s="117"/>
      <c r="AT119" s="99">
        <v>21.75</v>
      </c>
      <c r="AU119" s="130"/>
      <c r="AV119" s="262">
        <v>258</v>
      </c>
      <c r="AW119" s="267">
        <v>8017</v>
      </c>
      <c r="AX119" s="124"/>
      <c r="AY119" s="255">
        <v>0.74910492977141285</v>
      </c>
      <c r="AZ119" s="259">
        <v>81.623081076911205</v>
      </c>
      <c r="BA119" s="160">
        <v>-5608.0828239990024</v>
      </c>
      <c r="BB119" s="130"/>
      <c r="BC119" s="130"/>
      <c r="BD119" s="130"/>
      <c r="BE119" s="128">
        <v>24.556835113419577</v>
      </c>
      <c r="BF119" s="160">
        <v>539.72807783460155</v>
      </c>
      <c r="BG119" s="129">
        <v>14.180472828624382</v>
      </c>
      <c r="BH119" s="131">
        <v>8816.3901708868652</v>
      </c>
      <c r="BI119" s="124"/>
      <c r="BJ119" s="117">
        <v>18570</v>
      </c>
      <c r="BK119" s="117">
        <v>62208</v>
      </c>
      <c r="BL119" s="161">
        <v>0</v>
      </c>
      <c r="BM119" s="161">
        <v>-43638</v>
      </c>
      <c r="BN119" s="117">
        <v>30654</v>
      </c>
      <c r="BO119" s="117">
        <v>15591</v>
      </c>
      <c r="BP119" s="136"/>
      <c r="BR119" s="160">
        <v>-234</v>
      </c>
      <c r="BS119" s="160">
        <v>112</v>
      </c>
      <c r="BT119" s="161">
        <v>2485</v>
      </c>
      <c r="BU119" s="125">
        <v>3188</v>
      </c>
      <c r="BV119" s="160">
        <v>0</v>
      </c>
      <c r="BX119" s="161">
        <v>-703</v>
      </c>
      <c r="BY119" s="161">
        <v>26</v>
      </c>
      <c r="BZ119" s="160">
        <v>0</v>
      </c>
      <c r="CA119" s="161">
        <v>0</v>
      </c>
      <c r="CB119" s="161">
        <v>-58</v>
      </c>
      <c r="CC119" s="160">
        <v>-735</v>
      </c>
      <c r="CD119" s="160">
        <v>-2864</v>
      </c>
      <c r="CE119" s="116">
        <v>2140</v>
      </c>
      <c r="CF119" s="150"/>
      <c r="CG119" s="161">
        <v>1168</v>
      </c>
      <c r="CH119" s="160">
        <v>-3396</v>
      </c>
      <c r="CI119" s="159">
        <v>-2378</v>
      </c>
      <c r="CK119" s="124"/>
      <c r="CL119" s="161"/>
      <c r="CM119" s="124"/>
      <c r="CN119" s="265">
        <v>21.75</v>
      </c>
      <c r="CO119" s="130"/>
      <c r="CP119" s="116">
        <v>207</v>
      </c>
      <c r="CQ119" s="267">
        <v>7996</v>
      </c>
      <c r="CR119" s="124"/>
      <c r="CS119" s="268">
        <v>1.6216216216216217</v>
      </c>
      <c r="CT119" s="269">
        <v>73.227700543994473</v>
      </c>
      <c r="CU119" s="160">
        <v>-5443.8469234617305</v>
      </c>
      <c r="CV119" s="130"/>
      <c r="CW119" s="130"/>
      <c r="CX119" s="130"/>
      <c r="CY119" s="269">
        <v>27.355559580366968</v>
      </c>
      <c r="CZ119" s="125">
        <v>494.62231115557779</v>
      </c>
      <c r="DA119" s="125">
        <v>20.276068880274174</v>
      </c>
      <c r="DB119" s="273">
        <v>8903.9519759879931</v>
      </c>
      <c r="DC119" s="124"/>
      <c r="DD119" s="117">
        <v>19000</v>
      </c>
      <c r="DE119" s="117">
        <v>63756</v>
      </c>
      <c r="DF119" s="117">
        <v>0</v>
      </c>
      <c r="DG119" s="117">
        <v>-44756</v>
      </c>
      <c r="DH119" s="117">
        <v>31213</v>
      </c>
      <c r="DI119" s="117">
        <v>19273</v>
      </c>
      <c r="DJ119" s="136"/>
      <c r="DL119" s="160">
        <v>-207</v>
      </c>
      <c r="DM119" s="160">
        <v>86</v>
      </c>
      <c r="DN119" s="161">
        <v>5609</v>
      </c>
      <c r="DO119" s="116">
        <v>3533</v>
      </c>
      <c r="DP119" s="160">
        <v>125</v>
      </c>
      <c r="DR119" s="161">
        <v>2201</v>
      </c>
      <c r="DS119" s="117">
        <v>23</v>
      </c>
      <c r="DT119" s="116">
        <v>0</v>
      </c>
      <c r="DU119" s="117">
        <v>38</v>
      </c>
      <c r="DV119" s="117">
        <v>-13</v>
      </c>
      <c r="DW119" s="160">
        <v>2173</v>
      </c>
      <c r="DX119" s="160">
        <v>-841</v>
      </c>
      <c r="DY119" s="116">
        <v>5489</v>
      </c>
      <c r="DZ119" s="150"/>
      <c r="EA119" s="117">
        <v>219</v>
      </c>
      <c r="EB119" s="116">
        <v>-3378</v>
      </c>
      <c r="EC119" s="159">
        <v>1807</v>
      </c>
      <c r="EE119" s="125"/>
      <c r="EF119" s="161"/>
      <c r="EG119" s="124"/>
      <c r="EH119" s="253">
        <v>21.75</v>
      </c>
      <c r="EI119" s="130"/>
      <c r="EJ119" s="125">
        <v>257</v>
      </c>
      <c r="EK119" s="116"/>
      <c r="EL119" s="159"/>
      <c r="EN119" s="116"/>
      <c r="EO119" s="116"/>
      <c r="EP119" s="159"/>
      <c r="EQ119" s="159">
        <v>-6481</v>
      </c>
      <c r="ER119" s="116">
        <v>233</v>
      </c>
      <c r="ES119" s="116">
        <v>2372</v>
      </c>
      <c r="ET119" s="160">
        <v>-4784</v>
      </c>
      <c r="EU119" s="116">
        <v>60</v>
      </c>
      <c r="EV119" s="116">
        <v>206</v>
      </c>
      <c r="EW119" s="160">
        <v>-3792</v>
      </c>
      <c r="EX119" s="160">
        <v>8</v>
      </c>
      <c r="EY119" s="160">
        <v>102</v>
      </c>
      <c r="EZ119" s="116">
        <v>6505</v>
      </c>
      <c r="FA119" s="116">
        <v>1816</v>
      </c>
      <c r="FB119" s="116">
        <v>4142</v>
      </c>
      <c r="FC119" s="160">
        <v>1535</v>
      </c>
      <c r="FD119" s="116">
        <v>3002</v>
      </c>
      <c r="FE119" s="116">
        <v>-1420</v>
      </c>
      <c r="FF119" s="3">
        <v>40881</v>
      </c>
      <c r="FG119" s="3">
        <v>28465</v>
      </c>
      <c r="FH119" s="3">
        <v>12416</v>
      </c>
      <c r="FI119" s="3">
        <v>2</v>
      </c>
      <c r="FJ119" s="125">
        <v>43163</v>
      </c>
      <c r="FK119" s="160">
        <v>28868</v>
      </c>
      <c r="FL119" s="125">
        <v>14295</v>
      </c>
      <c r="FM119" s="116">
        <v>36</v>
      </c>
      <c r="FN119" s="125">
        <v>41379</v>
      </c>
      <c r="FO119" s="116">
        <v>28491</v>
      </c>
      <c r="FP119" s="116">
        <v>12888</v>
      </c>
      <c r="FQ119" s="116">
        <v>219</v>
      </c>
      <c r="FR119" s="153">
        <v>23</v>
      </c>
      <c r="FS119" s="153">
        <v>22</v>
      </c>
      <c r="FT119" s="276">
        <v>20</v>
      </c>
      <c r="FU119" s="3">
        <v>554</v>
      </c>
      <c r="FV119" s="159">
        <v>627</v>
      </c>
      <c r="FW119" s="170"/>
      <c r="FZ119" s="155"/>
      <c r="GA119" s="2"/>
      <c r="GD119" s="163"/>
      <c r="GE119" s="2"/>
      <c r="GF119" s="2"/>
    </row>
    <row r="120" spans="1:188" ht="14.5" x14ac:dyDescent="0.35">
      <c r="A120" s="72">
        <v>400</v>
      </c>
      <c r="B120" s="70" t="s">
        <v>117</v>
      </c>
      <c r="C120" s="158">
        <v>8647</v>
      </c>
      <c r="D120" s="171"/>
      <c r="E120" s="128">
        <v>4.9858156028368796</v>
      </c>
      <c r="F120" s="128">
        <v>68.704401370377539</v>
      </c>
      <c r="G120" s="129">
        <v>-5372.9617208280333</v>
      </c>
      <c r="H120" s="216"/>
      <c r="I120" s="172"/>
      <c r="J120" s="218"/>
      <c r="K120" s="128">
        <v>38.783658576190888</v>
      </c>
      <c r="L120" s="129">
        <v>708.33815196021749</v>
      </c>
      <c r="M120" s="129">
        <v>23.644146669063911</v>
      </c>
      <c r="N120" s="129">
        <v>10934.775066497052</v>
      </c>
      <c r="O120" s="129"/>
      <c r="P120" s="117">
        <v>38494</v>
      </c>
      <c r="Q120" s="161">
        <v>83775</v>
      </c>
      <c r="R120" s="161">
        <v>23</v>
      </c>
      <c r="S120" s="161">
        <v>-45258</v>
      </c>
      <c r="T120" s="124">
        <v>29006</v>
      </c>
      <c r="U120" s="124">
        <v>20359</v>
      </c>
      <c r="V120" s="136"/>
      <c r="X120" s="116">
        <v>-181</v>
      </c>
      <c r="Y120" s="116">
        <v>57</v>
      </c>
      <c r="Z120" s="161">
        <v>3983</v>
      </c>
      <c r="AA120" s="116">
        <v>4746</v>
      </c>
      <c r="AB120" s="116">
        <v>0</v>
      </c>
      <c r="AD120" s="161">
        <v>-763</v>
      </c>
      <c r="AE120" s="117">
        <v>-107</v>
      </c>
      <c r="AF120" s="117">
        <v>0</v>
      </c>
      <c r="AG120" s="116">
        <v>-40</v>
      </c>
      <c r="AH120" s="117">
        <v>9</v>
      </c>
      <c r="AI120" s="160">
        <v>-901</v>
      </c>
      <c r="AJ120" s="161">
        <v>8207</v>
      </c>
      <c r="AK120" s="161">
        <v>2739</v>
      </c>
      <c r="AL120" s="150"/>
      <c r="AM120" s="161">
        <v>-173</v>
      </c>
      <c r="AN120" s="161">
        <v>-611</v>
      </c>
      <c r="AO120" s="160">
        <v>-3767</v>
      </c>
      <c r="AQ120" s="160"/>
      <c r="AR120" s="117"/>
      <c r="AS120" s="117"/>
      <c r="AT120" s="99">
        <v>20.5</v>
      </c>
      <c r="AU120" s="130"/>
      <c r="AV120" s="262">
        <v>158</v>
      </c>
      <c r="AW120" s="267">
        <v>8588</v>
      </c>
      <c r="AX120" s="124"/>
      <c r="AY120" s="255">
        <v>0.91844114102049013</v>
      </c>
      <c r="AZ120" s="259">
        <v>71.741604373535651</v>
      </c>
      <c r="BA120" s="160">
        <v>-6004.7741034000928</v>
      </c>
      <c r="BB120" s="130"/>
      <c r="BC120" s="130"/>
      <c r="BD120" s="130"/>
      <c r="BE120" s="128">
        <v>37.430435888019439</v>
      </c>
      <c r="BF120" s="160">
        <v>584.53656264555195</v>
      </c>
      <c r="BG120" s="129">
        <v>22.99150529119574</v>
      </c>
      <c r="BH120" s="131">
        <v>11322.426641825803</v>
      </c>
      <c r="BI120" s="124"/>
      <c r="BJ120" s="117">
        <v>39072</v>
      </c>
      <c r="BK120" s="117">
        <v>87243</v>
      </c>
      <c r="BL120" s="161">
        <v>-72</v>
      </c>
      <c r="BM120" s="161">
        <v>-48243</v>
      </c>
      <c r="BN120" s="117">
        <v>30346</v>
      </c>
      <c r="BO120" s="117">
        <v>20212</v>
      </c>
      <c r="BP120" s="136"/>
      <c r="BR120" s="160">
        <v>-243</v>
      </c>
      <c r="BS120" s="160">
        <v>-35</v>
      </c>
      <c r="BT120" s="161">
        <v>2037</v>
      </c>
      <c r="BU120" s="125">
        <v>4917</v>
      </c>
      <c r="BV120" s="160">
        <v>0</v>
      </c>
      <c r="BX120" s="161">
        <v>-2880</v>
      </c>
      <c r="BY120" s="161">
        <v>-103</v>
      </c>
      <c r="BZ120" s="160">
        <v>0</v>
      </c>
      <c r="CA120" s="161">
        <v>43</v>
      </c>
      <c r="CB120" s="161">
        <v>60</v>
      </c>
      <c r="CC120" s="160">
        <v>-2966</v>
      </c>
      <c r="CD120" s="160">
        <v>5194</v>
      </c>
      <c r="CE120" s="116">
        <v>1968</v>
      </c>
      <c r="CF120" s="150"/>
      <c r="CG120" s="161">
        <v>65</v>
      </c>
      <c r="CH120" s="160">
        <v>-2240</v>
      </c>
      <c r="CI120" s="159">
        <v>-5275</v>
      </c>
      <c r="CK120" s="124"/>
      <c r="CL120" s="161"/>
      <c r="CM120" s="124"/>
      <c r="CN120" s="265">
        <v>20.75</v>
      </c>
      <c r="CO120" s="130"/>
      <c r="CP120" s="116">
        <v>231</v>
      </c>
      <c r="CQ120" s="267">
        <v>8468</v>
      </c>
      <c r="CR120" s="124"/>
      <c r="CS120" s="268">
        <v>2.5167701863354037</v>
      </c>
      <c r="CT120" s="269">
        <v>68.35018626929218</v>
      </c>
      <c r="CU120" s="160">
        <v>-6111.4785073216817</v>
      </c>
      <c r="CV120" s="130"/>
      <c r="CW120" s="130"/>
      <c r="CX120" s="130"/>
      <c r="CY120" s="269">
        <v>39.370452966767814</v>
      </c>
      <c r="CZ120" s="125">
        <v>589.86773736419457</v>
      </c>
      <c r="DA120" s="125">
        <v>18.738437345831279</v>
      </c>
      <c r="DB120" s="273">
        <v>11489.844119036372</v>
      </c>
      <c r="DC120" s="124"/>
      <c r="DD120" s="117">
        <v>38935</v>
      </c>
      <c r="DE120" s="117">
        <v>85921</v>
      </c>
      <c r="DF120" s="117">
        <v>26</v>
      </c>
      <c r="DG120" s="117">
        <v>-46960</v>
      </c>
      <c r="DH120" s="117">
        <v>30985</v>
      </c>
      <c r="DI120" s="117">
        <v>24030</v>
      </c>
      <c r="DJ120" s="136"/>
      <c r="DL120" s="160">
        <v>-252</v>
      </c>
      <c r="DM120" s="160">
        <v>41</v>
      </c>
      <c r="DN120" s="161">
        <v>7844</v>
      </c>
      <c r="DO120" s="116">
        <v>4980</v>
      </c>
      <c r="DP120" s="160">
        <v>0</v>
      </c>
      <c r="DR120" s="161">
        <v>2864</v>
      </c>
      <c r="DS120" s="117">
        <v>-114</v>
      </c>
      <c r="DT120" s="116">
        <v>0</v>
      </c>
      <c r="DU120" s="117">
        <v>46</v>
      </c>
      <c r="DV120" s="117">
        <v>15</v>
      </c>
      <c r="DW120" s="160">
        <v>2719</v>
      </c>
      <c r="DX120" s="160">
        <v>8652</v>
      </c>
      <c r="DY120" s="116">
        <v>7641</v>
      </c>
      <c r="DZ120" s="150"/>
      <c r="EA120" s="117">
        <v>245</v>
      </c>
      <c r="EB120" s="116">
        <v>-2960</v>
      </c>
      <c r="EC120" s="159">
        <v>41</v>
      </c>
      <c r="EE120" s="125"/>
      <c r="EF120" s="161"/>
      <c r="EG120" s="124"/>
      <c r="EH120" s="253">
        <v>20.75</v>
      </c>
      <c r="EI120" s="130"/>
      <c r="EJ120" s="125">
        <v>174</v>
      </c>
      <c r="EK120" s="116"/>
      <c r="EL120" s="159"/>
      <c r="EN120" s="116"/>
      <c r="EO120" s="116"/>
      <c r="EP120" s="159"/>
      <c r="EQ120" s="159">
        <v>-9903</v>
      </c>
      <c r="ER120" s="116">
        <v>2175</v>
      </c>
      <c r="ES120" s="116">
        <v>1222</v>
      </c>
      <c r="ET120" s="160">
        <v>-7429</v>
      </c>
      <c r="EU120" s="116">
        <v>21</v>
      </c>
      <c r="EV120" s="116">
        <v>165</v>
      </c>
      <c r="EW120" s="160">
        <v>-8044</v>
      </c>
      <c r="EX120" s="160">
        <v>53</v>
      </c>
      <c r="EY120" s="160">
        <v>391</v>
      </c>
      <c r="EZ120" s="116">
        <v>10059</v>
      </c>
      <c r="FA120" s="116">
        <v>-1438</v>
      </c>
      <c r="FB120" s="116">
        <v>33</v>
      </c>
      <c r="FC120" s="160">
        <v>5759</v>
      </c>
      <c r="FD120" s="116">
        <v>10093</v>
      </c>
      <c r="FE120" s="116">
        <v>-8100</v>
      </c>
      <c r="FF120" s="3">
        <v>35307</v>
      </c>
      <c r="FG120" s="3">
        <v>20432</v>
      </c>
      <c r="FH120" s="3">
        <v>14875</v>
      </c>
      <c r="FI120" s="3">
        <v>389</v>
      </c>
      <c r="FJ120" s="125">
        <v>47681</v>
      </c>
      <c r="FK120" s="160">
        <v>26969</v>
      </c>
      <c r="FL120" s="125">
        <v>20712</v>
      </c>
      <c r="FM120" s="116">
        <v>434</v>
      </c>
      <c r="FN120" s="125">
        <v>46736</v>
      </c>
      <c r="FO120" s="116">
        <v>33062</v>
      </c>
      <c r="FP120" s="116">
        <v>13674</v>
      </c>
      <c r="FQ120" s="116">
        <v>245</v>
      </c>
      <c r="FR120" s="153">
        <v>2030</v>
      </c>
      <c r="FS120" s="153">
        <v>1682</v>
      </c>
      <c r="FT120" s="276">
        <v>1805</v>
      </c>
      <c r="FU120" s="3">
        <v>422</v>
      </c>
      <c r="FV120" s="159">
        <v>422</v>
      </c>
      <c r="FW120" s="170"/>
      <c r="FZ120" s="155"/>
      <c r="GA120" s="2"/>
      <c r="GD120" s="163"/>
      <c r="GE120" s="2"/>
      <c r="GF120" s="2"/>
    </row>
    <row r="121" spans="1:188" ht="14.5" x14ac:dyDescent="0.35">
      <c r="A121" s="72">
        <v>407</v>
      </c>
      <c r="B121" s="70" t="s">
        <v>121</v>
      </c>
      <c r="C121" s="158">
        <v>2665</v>
      </c>
      <c r="D121" s="171"/>
      <c r="E121" s="128">
        <v>0.4</v>
      </c>
      <c r="F121" s="128">
        <v>82.242172937193288</v>
      </c>
      <c r="G121" s="129">
        <v>-7038.6491557223262</v>
      </c>
      <c r="H121" s="216"/>
      <c r="I121" s="172"/>
      <c r="J121" s="218"/>
      <c r="K121" s="128">
        <v>23.567057177828293</v>
      </c>
      <c r="L121" s="129">
        <v>482.17636022514068</v>
      </c>
      <c r="M121" s="129">
        <v>14.676753137027882</v>
      </c>
      <c r="N121" s="129">
        <v>11991.369606003753</v>
      </c>
      <c r="O121" s="129"/>
      <c r="P121" s="117">
        <v>10533</v>
      </c>
      <c r="Q121" s="161">
        <v>26313</v>
      </c>
      <c r="R121" s="161">
        <v>-2</v>
      </c>
      <c r="S121" s="161">
        <v>-15782</v>
      </c>
      <c r="T121" s="124">
        <v>8438</v>
      </c>
      <c r="U121" s="124">
        <v>7316</v>
      </c>
      <c r="V121" s="136"/>
      <c r="X121" s="116">
        <v>-111</v>
      </c>
      <c r="Y121" s="116">
        <v>839</v>
      </c>
      <c r="Z121" s="161">
        <v>700</v>
      </c>
      <c r="AA121" s="116">
        <v>1525</v>
      </c>
      <c r="AB121" s="117">
        <v>0</v>
      </c>
      <c r="AD121" s="161">
        <v>-825</v>
      </c>
      <c r="AE121" s="116">
        <v>0</v>
      </c>
      <c r="AF121" s="116">
        <v>-1</v>
      </c>
      <c r="AG121" s="116">
        <v>0</v>
      </c>
      <c r="AH121" s="116">
        <v>-1</v>
      </c>
      <c r="AI121" s="160">
        <v>-827</v>
      </c>
      <c r="AJ121" s="161">
        <v>-2173</v>
      </c>
      <c r="AK121" s="161">
        <v>562</v>
      </c>
      <c r="AL121" s="150"/>
      <c r="AM121" s="161">
        <v>-302</v>
      </c>
      <c r="AN121" s="161">
        <v>-1216</v>
      </c>
      <c r="AO121" s="160">
        <v>-3598</v>
      </c>
      <c r="AQ121" s="160"/>
      <c r="AR121" s="117"/>
      <c r="AS121" s="117"/>
      <c r="AT121" s="99">
        <v>20.5</v>
      </c>
      <c r="AU121" s="130"/>
      <c r="AV121" s="262">
        <v>237</v>
      </c>
      <c r="AW121" s="267">
        <v>2606</v>
      </c>
      <c r="AX121" s="124"/>
      <c r="AY121" s="255">
        <v>0.3</v>
      </c>
      <c r="AZ121" s="259">
        <v>88.346403257427241</v>
      </c>
      <c r="BA121" s="160">
        <v>-7712.2026093630084</v>
      </c>
      <c r="BB121" s="130"/>
      <c r="BC121" s="130"/>
      <c r="BD121" s="130"/>
      <c r="BE121" s="128">
        <v>20.269448946515396</v>
      </c>
      <c r="BF121" s="160">
        <v>684.95778971603988</v>
      </c>
      <c r="BG121" s="129">
        <v>15.086525780822798</v>
      </c>
      <c r="BH121" s="131">
        <v>11929.777436684575</v>
      </c>
      <c r="BI121" s="124"/>
      <c r="BJ121" s="117">
        <v>10402</v>
      </c>
      <c r="BK121" s="117">
        <v>26443</v>
      </c>
      <c r="BL121" s="161">
        <v>2</v>
      </c>
      <c r="BM121" s="161">
        <v>-16039</v>
      </c>
      <c r="BN121" s="117">
        <v>8820</v>
      </c>
      <c r="BO121" s="117">
        <v>7302</v>
      </c>
      <c r="BP121" s="136"/>
      <c r="BR121" s="160">
        <v>-115</v>
      </c>
      <c r="BS121" s="160">
        <v>820</v>
      </c>
      <c r="BT121" s="161">
        <v>788</v>
      </c>
      <c r="BU121" s="125">
        <v>1502</v>
      </c>
      <c r="BV121" s="161">
        <v>0</v>
      </c>
      <c r="BX121" s="161">
        <v>-714</v>
      </c>
      <c r="BY121" s="160">
        <v>-3</v>
      </c>
      <c r="BZ121" s="160">
        <v>0</v>
      </c>
      <c r="CA121" s="160">
        <v>0</v>
      </c>
      <c r="CB121" s="160">
        <v>0</v>
      </c>
      <c r="CC121" s="160">
        <v>-717</v>
      </c>
      <c r="CD121" s="160">
        <v>-2890</v>
      </c>
      <c r="CE121" s="116">
        <v>801</v>
      </c>
      <c r="CF121" s="150"/>
      <c r="CG121" s="161">
        <v>26</v>
      </c>
      <c r="CH121" s="160">
        <v>-1264</v>
      </c>
      <c r="CI121" s="159">
        <v>-1367</v>
      </c>
      <c r="CK121" s="124"/>
      <c r="CL121" s="161"/>
      <c r="CM121" s="124"/>
      <c r="CN121" s="265">
        <v>20.5</v>
      </c>
      <c r="CO121" s="130"/>
      <c r="CP121" s="116">
        <v>209</v>
      </c>
      <c r="CQ121" s="267">
        <v>2621</v>
      </c>
      <c r="CR121" s="124"/>
      <c r="CS121" s="268">
        <v>2.0575539568345325</v>
      </c>
      <c r="CT121" s="269">
        <v>76.447070478347015</v>
      </c>
      <c r="CU121" s="160">
        <v>-6323.9221671117893</v>
      </c>
      <c r="CV121" s="130"/>
      <c r="CW121" s="130"/>
      <c r="CX121" s="130"/>
      <c r="CY121" s="269">
        <v>26.28497952830508</v>
      </c>
      <c r="CZ121" s="125">
        <v>1362.0755436856161</v>
      </c>
      <c r="DA121" s="125">
        <v>45.717844361799173</v>
      </c>
      <c r="DB121" s="273">
        <v>10874.47539107211</v>
      </c>
      <c r="DC121" s="124"/>
      <c r="DD121" s="117">
        <v>10842</v>
      </c>
      <c r="DE121" s="117">
        <v>25768</v>
      </c>
      <c r="DF121" s="117">
        <v>0</v>
      </c>
      <c r="DG121" s="117">
        <v>-14926</v>
      </c>
      <c r="DH121" s="117">
        <v>8743</v>
      </c>
      <c r="DI121" s="117">
        <v>8679</v>
      </c>
      <c r="DJ121" s="136"/>
      <c r="DL121" s="160">
        <v>-106</v>
      </c>
      <c r="DM121" s="160">
        <v>932</v>
      </c>
      <c r="DN121" s="161">
        <v>3322</v>
      </c>
      <c r="DO121" s="116">
        <v>1556</v>
      </c>
      <c r="DP121" s="161">
        <v>0</v>
      </c>
      <c r="DR121" s="161">
        <v>1766</v>
      </c>
      <c r="DS121" s="116">
        <v>-1</v>
      </c>
      <c r="DT121" s="116">
        <v>0</v>
      </c>
      <c r="DU121" s="116">
        <v>0</v>
      </c>
      <c r="DV121" s="116">
        <v>0</v>
      </c>
      <c r="DW121" s="160">
        <v>1765</v>
      </c>
      <c r="DX121" s="160">
        <v>-1124</v>
      </c>
      <c r="DY121" s="116">
        <v>3565</v>
      </c>
      <c r="DZ121" s="150"/>
      <c r="EA121" s="117">
        <v>87</v>
      </c>
      <c r="EB121" s="116">
        <v>-1558</v>
      </c>
      <c r="EC121" s="159">
        <v>3336</v>
      </c>
      <c r="EE121" s="125"/>
      <c r="EF121" s="161"/>
      <c r="EG121" s="124"/>
      <c r="EH121" s="253">
        <v>21</v>
      </c>
      <c r="EI121" s="130"/>
      <c r="EJ121" s="125">
        <v>59</v>
      </c>
      <c r="EK121" s="116"/>
      <c r="EL121" s="159"/>
      <c r="EN121" s="116"/>
      <c r="EO121" s="116"/>
      <c r="EP121" s="159"/>
      <c r="EQ121" s="159">
        <v>-4277</v>
      </c>
      <c r="ER121" s="116">
        <v>6</v>
      </c>
      <c r="ES121" s="116">
        <v>111</v>
      </c>
      <c r="ET121" s="160">
        <v>-3224</v>
      </c>
      <c r="EU121" s="116">
        <v>28</v>
      </c>
      <c r="EV121" s="116">
        <v>1028</v>
      </c>
      <c r="EW121" s="160">
        <v>-1022</v>
      </c>
      <c r="EX121" s="160">
        <v>26</v>
      </c>
      <c r="EY121" s="160">
        <v>767</v>
      </c>
      <c r="EZ121" s="116">
        <v>4211</v>
      </c>
      <c r="FA121" s="116">
        <v>21</v>
      </c>
      <c r="FB121" s="116">
        <v>2990</v>
      </c>
      <c r="FC121" s="160">
        <v>140</v>
      </c>
      <c r="FD121" s="116">
        <v>533</v>
      </c>
      <c r="FE121" s="116">
        <v>-267</v>
      </c>
      <c r="FF121" s="3">
        <v>17716</v>
      </c>
      <c r="FG121" s="3">
        <v>13442</v>
      </c>
      <c r="FH121" s="3">
        <v>4274</v>
      </c>
      <c r="FI121" s="3">
        <v>0</v>
      </c>
      <c r="FJ121" s="125">
        <v>19582</v>
      </c>
      <c r="FK121" s="160">
        <v>15168</v>
      </c>
      <c r="FL121" s="125">
        <v>4414</v>
      </c>
      <c r="FM121" s="116">
        <v>0</v>
      </c>
      <c r="FN121" s="125">
        <v>18290</v>
      </c>
      <c r="FO121" s="116">
        <v>14127</v>
      </c>
      <c r="FP121" s="116">
        <v>4163</v>
      </c>
      <c r="FQ121" s="116">
        <v>87</v>
      </c>
      <c r="FR121" s="153">
        <v>204</v>
      </c>
      <c r="FS121" s="153">
        <v>165</v>
      </c>
      <c r="FT121" s="276">
        <v>130</v>
      </c>
      <c r="FU121" s="3">
        <v>1323</v>
      </c>
      <c r="FV121" s="159">
        <v>1444</v>
      </c>
      <c r="FW121" s="170"/>
      <c r="FZ121" s="155"/>
      <c r="GA121" s="2"/>
      <c r="GD121" s="163"/>
      <c r="GE121" s="2"/>
      <c r="GF121" s="2"/>
    </row>
    <row r="122" spans="1:188" ht="14.5" x14ac:dyDescent="0.35">
      <c r="A122" s="72">
        <v>402</v>
      </c>
      <c r="B122" s="70" t="s">
        <v>118</v>
      </c>
      <c r="C122" s="158">
        <v>9617</v>
      </c>
      <c r="D122" s="171"/>
      <c r="E122" s="128">
        <v>0.78024911032028466</v>
      </c>
      <c r="F122" s="128">
        <v>70.652196339777575</v>
      </c>
      <c r="G122" s="129">
        <v>-6065.3010294270562</v>
      </c>
      <c r="H122" s="216"/>
      <c r="I122" s="172"/>
      <c r="J122" s="218"/>
      <c r="K122" s="128">
        <v>34.268748381368162</v>
      </c>
      <c r="L122" s="129">
        <v>490.38161588853075</v>
      </c>
      <c r="M122" s="129">
        <v>16.434879746412442</v>
      </c>
      <c r="N122" s="129">
        <v>10890.818342518458</v>
      </c>
      <c r="O122" s="129"/>
      <c r="P122" s="117">
        <v>35029</v>
      </c>
      <c r="Q122" s="161">
        <v>91782</v>
      </c>
      <c r="R122" s="161">
        <v>130</v>
      </c>
      <c r="S122" s="161">
        <v>-56623</v>
      </c>
      <c r="T122" s="124">
        <v>29062</v>
      </c>
      <c r="U122" s="124">
        <v>32843</v>
      </c>
      <c r="V122" s="136"/>
      <c r="X122" s="116">
        <v>-537</v>
      </c>
      <c r="Y122" s="116">
        <v>842</v>
      </c>
      <c r="Z122" s="161">
        <v>5587</v>
      </c>
      <c r="AA122" s="116">
        <v>6029</v>
      </c>
      <c r="AB122" s="116">
        <v>-116</v>
      </c>
      <c r="AD122" s="161">
        <v>-558</v>
      </c>
      <c r="AE122" s="116">
        <v>65</v>
      </c>
      <c r="AF122" s="116">
        <v>10</v>
      </c>
      <c r="AG122" s="116">
        <v>-27</v>
      </c>
      <c r="AH122" s="117">
        <v>27</v>
      </c>
      <c r="AI122" s="160">
        <v>-483</v>
      </c>
      <c r="AJ122" s="161">
        <v>-276</v>
      </c>
      <c r="AK122" s="161">
        <v>5389</v>
      </c>
      <c r="AL122" s="150"/>
      <c r="AM122" s="161">
        <v>777</v>
      </c>
      <c r="AN122" s="161">
        <v>-7316</v>
      </c>
      <c r="AO122" s="160">
        <v>804</v>
      </c>
      <c r="AQ122" s="160"/>
      <c r="AR122" s="117"/>
      <c r="AS122" s="117"/>
      <c r="AT122" s="99">
        <v>21.25</v>
      </c>
      <c r="AU122" s="130"/>
      <c r="AV122" s="262">
        <v>120</v>
      </c>
      <c r="AW122" s="267">
        <v>9485</v>
      </c>
      <c r="AX122" s="124"/>
      <c r="AY122" s="255">
        <v>1.1499999999999999</v>
      </c>
      <c r="AZ122" s="259">
        <v>70.898367990238441</v>
      </c>
      <c r="BA122" s="160">
        <v>-6367.1059567738539</v>
      </c>
      <c r="BB122" s="130"/>
      <c r="BC122" s="130"/>
      <c r="BD122" s="130"/>
      <c r="BE122" s="128">
        <v>34.043906801773971</v>
      </c>
      <c r="BF122" s="160">
        <v>451.66051660516604</v>
      </c>
      <c r="BG122" s="129">
        <v>16.09089889320969</v>
      </c>
      <c r="BH122" s="131">
        <v>11278.439641539271</v>
      </c>
      <c r="BI122" s="124"/>
      <c r="BJ122" s="117">
        <v>35638</v>
      </c>
      <c r="BK122" s="117">
        <v>93365</v>
      </c>
      <c r="BL122" s="161">
        <v>179</v>
      </c>
      <c r="BM122" s="161">
        <v>-57548</v>
      </c>
      <c r="BN122" s="117">
        <v>30072</v>
      </c>
      <c r="BO122" s="117">
        <v>32635</v>
      </c>
      <c r="BP122" s="136"/>
      <c r="BR122" s="160">
        <v>-507</v>
      </c>
      <c r="BS122" s="160">
        <v>890</v>
      </c>
      <c r="BT122" s="161">
        <v>5542</v>
      </c>
      <c r="BU122" s="125">
        <v>6125</v>
      </c>
      <c r="BV122" s="160">
        <v>0</v>
      </c>
      <c r="BX122" s="161">
        <v>-583</v>
      </c>
      <c r="BY122" s="160">
        <v>22</v>
      </c>
      <c r="BZ122" s="160">
        <v>1</v>
      </c>
      <c r="CA122" s="161">
        <v>42</v>
      </c>
      <c r="CB122" s="161">
        <v>-36</v>
      </c>
      <c r="CC122" s="160">
        <v>-638</v>
      </c>
      <c r="CD122" s="160">
        <v>-891</v>
      </c>
      <c r="CE122" s="116">
        <v>5513</v>
      </c>
      <c r="CF122" s="150"/>
      <c r="CG122" s="161">
        <v>399</v>
      </c>
      <c r="CH122" s="160">
        <v>-4750</v>
      </c>
      <c r="CI122" s="159">
        <v>-2433</v>
      </c>
      <c r="CK122" s="124"/>
      <c r="CL122" s="161"/>
      <c r="CM122" s="124"/>
      <c r="CN122" s="265">
        <v>21.25</v>
      </c>
      <c r="CO122" s="130"/>
      <c r="CP122" s="116">
        <v>94</v>
      </c>
      <c r="CQ122" s="267">
        <v>9358</v>
      </c>
      <c r="CR122" s="124"/>
      <c r="CS122" s="268">
        <v>1.7581944184304177</v>
      </c>
      <c r="CT122" s="269">
        <v>71.545978064802398</v>
      </c>
      <c r="CU122" s="160">
        <v>-6604.7232314597131</v>
      </c>
      <c r="CV122" s="130"/>
      <c r="CW122" s="130"/>
      <c r="CX122" s="130"/>
      <c r="CY122" s="269">
        <v>34.126367747057401</v>
      </c>
      <c r="CZ122" s="125">
        <v>787.0271425518273</v>
      </c>
      <c r="DA122" s="125">
        <v>23.995153170522705</v>
      </c>
      <c r="DB122" s="273">
        <v>11971.788843770037</v>
      </c>
      <c r="DC122" s="124"/>
      <c r="DD122" s="117">
        <v>36319</v>
      </c>
      <c r="DE122" s="117">
        <v>95404</v>
      </c>
      <c r="DF122" s="117">
        <v>234</v>
      </c>
      <c r="DG122" s="117">
        <v>-58851</v>
      </c>
      <c r="DH122" s="117">
        <v>30712</v>
      </c>
      <c r="DI122" s="117">
        <v>36638</v>
      </c>
      <c r="DJ122" s="136"/>
      <c r="DL122" s="160">
        <v>-479</v>
      </c>
      <c r="DM122" s="160">
        <v>863</v>
      </c>
      <c r="DN122" s="161">
        <v>8883</v>
      </c>
      <c r="DO122" s="116">
        <v>6195</v>
      </c>
      <c r="DP122" s="160">
        <v>1</v>
      </c>
      <c r="DR122" s="161">
        <v>2689</v>
      </c>
      <c r="DS122" s="116">
        <v>41</v>
      </c>
      <c r="DT122" s="116">
        <v>4</v>
      </c>
      <c r="DU122" s="117">
        <v>-9</v>
      </c>
      <c r="DV122" s="117">
        <v>-53</v>
      </c>
      <c r="DW122" s="160">
        <v>2690</v>
      </c>
      <c r="DX122" s="160">
        <v>1793</v>
      </c>
      <c r="DY122" s="116">
        <v>8998</v>
      </c>
      <c r="DZ122" s="150"/>
      <c r="EA122" s="117">
        <v>48</v>
      </c>
      <c r="EB122" s="116">
        <v>-4835</v>
      </c>
      <c r="EC122" s="159">
        <v>-1375</v>
      </c>
      <c r="EE122" s="125"/>
      <c r="EF122" s="161"/>
      <c r="EG122" s="124"/>
      <c r="EH122" s="253">
        <v>21.25</v>
      </c>
      <c r="EI122" s="130"/>
      <c r="EJ122" s="125">
        <v>154</v>
      </c>
      <c r="EK122" s="116"/>
      <c r="EL122" s="159"/>
      <c r="EN122" s="116"/>
      <c r="EO122" s="116"/>
      <c r="EP122" s="159"/>
      <c r="EQ122" s="159">
        <v>-5003</v>
      </c>
      <c r="ER122" s="116">
        <v>90</v>
      </c>
      <c r="ES122" s="116">
        <v>328</v>
      </c>
      <c r="ET122" s="160">
        <v>-8285</v>
      </c>
      <c r="EU122" s="116">
        <v>139</v>
      </c>
      <c r="EV122" s="116">
        <v>200</v>
      </c>
      <c r="EW122" s="160">
        <v>-11268</v>
      </c>
      <c r="EX122" s="160">
        <v>336</v>
      </c>
      <c r="EY122" s="160">
        <v>559</v>
      </c>
      <c r="EZ122" s="116">
        <v>3890</v>
      </c>
      <c r="FA122" s="116">
        <v>882</v>
      </c>
      <c r="FB122" s="116">
        <v>5568</v>
      </c>
      <c r="FC122" s="160">
        <v>543</v>
      </c>
      <c r="FD122" s="116">
        <v>9007</v>
      </c>
      <c r="FE122" s="116">
        <v>-384</v>
      </c>
      <c r="FF122" s="3">
        <v>54782</v>
      </c>
      <c r="FG122" s="3">
        <v>48552</v>
      </c>
      <c r="FH122" s="3">
        <v>6230</v>
      </c>
      <c r="FI122" s="3">
        <v>454</v>
      </c>
      <c r="FJ122" s="125">
        <v>56152</v>
      </c>
      <c r="FK122" s="160">
        <v>48829</v>
      </c>
      <c r="FL122" s="125">
        <v>7323</v>
      </c>
      <c r="FM122" s="116">
        <v>0</v>
      </c>
      <c r="FN122" s="125">
        <v>59939</v>
      </c>
      <c r="FO122" s="116">
        <v>52808</v>
      </c>
      <c r="FP122" s="116">
        <v>7131</v>
      </c>
      <c r="FQ122" s="116">
        <v>48</v>
      </c>
      <c r="FR122" s="153">
        <v>3314</v>
      </c>
      <c r="FS122" s="153">
        <v>2867</v>
      </c>
      <c r="FT122" s="276">
        <v>2449</v>
      </c>
      <c r="FU122" s="3">
        <v>1490</v>
      </c>
      <c r="FV122" s="159">
        <v>2643</v>
      </c>
      <c r="FW122" s="170"/>
      <c r="FZ122" s="155"/>
      <c r="GA122" s="2"/>
      <c r="GD122" s="163"/>
      <c r="GE122" s="2"/>
      <c r="GF122" s="2"/>
    </row>
    <row r="123" spans="1:188" ht="14.5" x14ac:dyDescent="0.35">
      <c r="A123" s="72">
        <v>403</v>
      </c>
      <c r="B123" s="70" t="s">
        <v>119</v>
      </c>
      <c r="C123" s="158">
        <v>3078</v>
      </c>
      <c r="D123" s="171"/>
      <c r="E123" s="128">
        <v>0.39576271186440676</v>
      </c>
      <c r="F123" s="128">
        <v>61.410140721410627</v>
      </c>
      <c r="G123" s="129">
        <v>-3948.3430799220273</v>
      </c>
      <c r="H123" s="216"/>
      <c r="I123" s="172"/>
      <c r="J123" s="218"/>
      <c r="K123" s="128">
        <v>39.757095317832089</v>
      </c>
      <c r="L123" s="129">
        <v>1912.280701754386</v>
      </c>
      <c r="M123" s="129">
        <v>45.337117774917168</v>
      </c>
      <c r="N123" s="129">
        <v>15395.38661468486</v>
      </c>
      <c r="O123" s="129"/>
      <c r="P123" s="117">
        <v>19343</v>
      </c>
      <c r="Q123" s="161">
        <v>38647</v>
      </c>
      <c r="R123" s="161">
        <v>-67</v>
      </c>
      <c r="S123" s="161">
        <v>-19371</v>
      </c>
      <c r="T123" s="124">
        <v>9318</v>
      </c>
      <c r="U123" s="124">
        <v>12342</v>
      </c>
      <c r="V123" s="136"/>
      <c r="X123" s="116">
        <v>-81</v>
      </c>
      <c r="Y123" s="116">
        <v>37</v>
      </c>
      <c r="Z123" s="161">
        <v>2245</v>
      </c>
      <c r="AA123" s="116">
        <v>2513</v>
      </c>
      <c r="AB123" s="116">
        <v>0</v>
      </c>
      <c r="AD123" s="161">
        <v>-268</v>
      </c>
      <c r="AE123" s="116">
        <v>42</v>
      </c>
      <c r="AF123" s="116">
        <v>4</v>
      </c>
      <c r="AG123" s="116">
        <v>-7</v>
      </c>
      <c r="AH123" s="116">
        <v>-1</v>
      </c>
      <c r="AI123" s="160">
        <v>-230</v>
      </c>
      <c r="AJ123" s="161">
        <v>2541</v>
      </c>
      <c r="AK123" s="161">
        <v>409</v>
      </c>
      <c r="AL123" s="150"/>
      <c r="AM123" s="161">
        <v>-4115</v>
      </c>
      <c r="AN123" s="161">
        <v>-5810</v>
      </c>
      <c r="AO123" s="160">
        <v>5201</v>
      </c>
      <c r="AQ123" s="160"/>
      <c r="AR123" s="117"/>
      <c r="AS123" s="117"/>
      <c r="AT123" s="99">
        <v>21</v>
      </c>
      <c r="AU123" s="130"/>
      <c r="AV123" s="262">
        <v>69</v>
      </c>
      <c r="AW123" s="267">
        <v>2996</v>
      </c>
      <c r="AX123" s="124"/>
      <c r="AY123" s="255">
        <v>1.5385694249649369</v>
      </c>
      <c r="AZ123" s="259">
        <v>54.494271869135318</v>
      </c>
      <c r="BA123" s="160">
        <v>-5093.4579439252338</v>
      </c>
      <c r="BB123" s="130"/>
      <c r="BC123" s="130"/>
      <c r="BD123" s="130"/>
      <c r="BE123" s="128">
        <v>51.066237056349458</v>
      </c>
      <c r="BF123" s="160">
        <v>749.66622162883846</v>
      </c>
      <c r="BG123" s="129">
        <v>51.191162343900096</v>
      </c>
      <c r="BH123" s="131">
        <v>13203.604806408546</v>
      </c>
      <c r="BI123" s="124"/>
      <c r="BJ123" s="117">
        <v>13414</v>
      </c>
      <c r="BK123" s="117">
        <v>34769</v>
      </c>
      <c r="BL123" s="161">
        <v>-33</v>
      </c>
      <c r="BM123" s="161">
        <v>-21388</v>
      </c>
      <c r="BN123" s="117">
        <v>9693</v>
      </c>
      <c r="BO123" s="117">
        <v>12594</v>
      </c>
      <c r="BP123" s="136"/>
      <c r="BR123" s="160">
        <v>-81</v>
      </c>
      <c r="BS123" s="160">
        <v>194</v>
      </c>
      <c r="BT123" s="161">
        <v>1012</v>
      </c>
      <c r="BU123" s="125">
        <v>1759</v>
      </c>
      <c r="BV123" s="160">
        <v>0</v>
      </c>
      <c r="BX123" s="161">
        <v>-747</v>
      </c>
      <c r="BY123" s="160">
        <v>19</v>
      </c>
      <c r="BZ123" s="160">
        <v>-3</v>
      </c>
      <c r="CA123" s="160">
        <v>0</v>
      </c>
      <c r="CB123" s="160">
        <v>8</v>
      </c>
      <c r="CC123" s="160">
        <v>-723</v>
      </c>
      <c r="CD123" s="160">
        <v>1768</v>
      </c>
      <c r="CE123" s="116">
        <v>1055</v>
      </c>
      <c r="CF123" s="150"/>
      <c r="CG123" s="161">
        <v>5051</v>
      </c>
      <c r="CH123" s="160">
        <v>-628</v>
      </c>
      <c r="CI123" s="159">
        <v>-2599</v>
      </c>
      <c r="CK123" s="124"/>
      <c r="CL123" s="161"/>
      <c r="CM123" s="124"/>
      <c r="CN123" s="265">
        <v>21.5</v>
      </c>
      <c r="CO123" s="130"/>
      <c r="CP123" s="116">
        <v>191</v>
      </c>
      <c r="CQ123" s="267">
        <v>2925</v>
      </c>
      <c r="CR123" s="124"/>
      <c r="CS123" s="268">
        <v>2.1226337448559671</v>
      </c>
      <c r="CT123" s="269">
        <v>70.454483491916349</v>
      </c>
      <c r="CU123" s="160">
        <v>-6773.6752136752139</v>
      </c>
      <c r="CV123" s="130"/>
      <c r="CW123" s="130"/>
      <c r="CX123" s="130"/>
      <c r="CY123" s="269">
        <v>44.97442482160524</v>
      </c>
      <c r="CZ123" s="125">
        <v>1238.9743589743589</v>
      </c>
      <c r="DA123" s="125">
        <v>31.030308717275034</v>
      </c>
      <c r="DB123" s="273">
        <v>14573.675213675215</v>
      </c>
      <c r="DC123" s="124"/>
      <c r="DD123" s="117">
        <v>13151</v>
      </c>
      <c r="DE123" s="117">
        <v>34164</v>
      </c>
      <c r="DF123" s="117">
        <v>-37</v>
      </c>
      <c r="DG123" s="117">
        <v>-21050</v>
      </c>
      <c r="DH123" s="117">
        <v>9476</v>
      </c>
      <c r="DI123" s="117">
        <v>14052</v>
      </c>
      <c r="DJ123" s="136"/>
      <c r="DL123" s="160">
        <v>-95</v>
      </c>
      <c r="DM123" s="160">
        <v>88</v>
      </c>
      <c r="DN123" s="161">
        <v>2471</v>
      </c>
      <c r="DO123" s="116">
        <v>1846</v>
      </c>
      <c r="DP123" s="160">
        <v>0</v>
      </c>
      <c r="DR123" s="161">
        <v>625</v>
      </c>
      <c r="DS123" s="116">
        <v>-48</v>
      </c>
      <c r="DT123" s="116">
        <v>2</v>
      </c>
      <c r="DU123" s="116">
        <v>3</v>
      </c>
      <c r="DV123" s="116">
        <v>0</v>
      </c>
      <c r="DW123" s="160">
        <v>576</v>
      </c>
      <c r="DX123" s="160">
        <v>2332</v>
      </c>
      <c r="DY123" s="116">
        <v>2402</v>
      </c>
      <c r="DZ123" s="150"/>
      <c r="EA123" s="117">
        <v>56</v>
      </c>
      <c r="EB123" s="116">
        <v>-1107</v>
      </c>
      <c r="EC123" s="159">
        <v>-4354</v>
      </c>
      <c r="EE123" s="125"/>
      <c r="EF123" s="161"/>
      <c r="EG123" s="124"/>
      <c r="EH123" s="253">
        <v>21.5</v>
      </c>
      <c r="EI123" s="130"/>
      <c r="EJ123" s="125">
        <v>211</v>
      </c>
      <c r="EK123" s="116"/>
      <c r="EL123" s="159"/>
      <c r="EN123" s="116"/>
      <c r="EO123" s="116"/>
      <c r="EP123" s="159"/>
      <c r="EQ123" s="159">
        <v>-2781</v>
      </c>
      <c r="ER123" s="116">
        <v>202</v>
      </c>
      <c r="ES123" s="116">
        <v>7371</v>
      </c>
      <c r="ET123" s="160">
        <v>-4049</v>
      </c>
      <c r="EU123" s="116">
        <v>252</v>
      </c>
      <c r="EV123" s="116">
        <v>143</v>
      </c>
      <c r="EW123" s="160">
        <v>-7073</v>
      </c>
      <c r="EX123" s="160">
        <v>302</v>
      </c>
      <c r="EY123" s="160">
        <v>15</v>
      </c>
      <c r="EZ123" s="116">
        <v>1424</v>
      </c>
      <c r="FA123" s="116">
        <v>749</v>
      </c>
      <c r="FB123" s="116">
        <v>726</v>
      </c>
      <c r="FC123" s="160">
        <v>-467</v>
      </c>
      <c r="FD123" s="116">
        <v>5937</v>
      </c>
      <c r="FE123" s="116">
        <v>406</v>
      </c>
      <c r="FF123" s="3">
        <v>15246</v>
      </c>
      <c r="FG123" s="3">
        <v>6092</v>
      </c>
      <c r="FH123" s="3">
        <v>9154</v>
      </c>
      <c r="FI123" s="3">
        <v>3</v>
      </c>
      <c r="FJ123" s="125">
        <v>14995</v>
      </c>
      <c r="FK123" s="160">
        <v>5709</v>
      </c>
      <c r="FL123" s="125">
        <v>9286</v>
      </c>
      <c r="FM123" s="116">
        <v>0</v>
      </c>
      <c r="FN123" s="125">
        <v>20698</v>
      </c>
      <c r="FO123" s="116">
        <v>10890</v>
      </c>
      <c r="FP123" s="116">
        <v>9808</v>
      </c>
      <c r="FQ123" s="116">
        <v>56</v>
      </c>
      <c r="FR123" s="153">
        <v>801</v>
      </c>
      <c r="FS123" s="153">
        <v>5208</v>
      </c>
      <c r="FT123" s="276">
        <v>5270</v>
      </c>
      <c r="FU123" s="3">
        <v>11</v>
      </c>
      <c r="FV123" s="159">
        <v>25</v>
      </c>
      <c r="FW123" s="170"/>
      <c r="FZ123" s="155"/>
      <c r="GA123" s="2"/>
      <c r="GD123" s="163"/>
      <c r="GE123" s="2"/>
      <c r="GF123" s="2"/>
    </row>
    <row r="124" spans="1:188" ht="14.5" x14ac:dyDescent="0.35">
      <c r="A124" s="72">
        <v>405</v>
      </c>
      <c r="B124" s="70" t="s">
        <v>120</v>
      </c>
      <c r="C124" s="158">
        <v>72699</v>
      </c>
      <c r="D124" s="171"/>
      <c r="E124" s="128">
        <v>1.1296360535368428</v>
      </c>
      <c r="F124" s="128">
        <v>83.318667615329105</v>
      </c>
      <c r="G124" s="129">
        <v>-7853.3267307665856</v>
      </c>
      <c r="H124" s="216"/>
      <c r="I124" s="172"/>
      <c r="J124" s="218"/>
      <c r="K124" s="128">
        <v>30.94829170412385</v>
      </c>
      <c r="L124" s="129">
        <v>687.91867838622272</v>
      </c>
      <c r="M124" s="129">
        <v>21.501746264525213</v>
      </c>
      <c r="N124" s="129">
        <v>11677.670944579706</v>
      </c>
      <c r="O124" s="129"/>
      <c r="P124" s="117">
        <v>386828</v>
      </c>
      <c r="Q124" s="161">
        <v>716530</v>
      </c>
      <c r="R124" s="161">
        <v>-260</v>
      </c>
      <c r="S124" s="161">
        <v>-329962</v>
      </c>
      <c r="T124" s="124">
        <v>288085</v>
      </c>
      <c r="U124" s="124">
        <v>120593</v>
      </c>
      <c r="V124" s="136"/>
      <c r="X124" s="116">
        <v>-4616</v>
      </c>
      <c r="Y124" s="116">
        <v>-696</v>
      </c>
      <c r="Z124" s="161">
        <v>73404</v>
      </c>
      <c r="AA124" s="116">
        <v>54595</v>
      </c>
      <c r="AB124" s="116">
        <v>0</v>
      </c>
      <c r="AD124" s="161">
        <v>18809</v>
      </c>
      <c r="AE124" s="117">
        <v>-668</v>
      </c>
      <c r="AF124" s="117">
        <v>96</v>
      </c>
      <c r="AG124" s="116">
        <v>-2761</v>
      </c>
      <c r="AH124" s="116">
        <v>-2140</v>
      </c>
      <c r="AI124" s="160">
        <v>13336</v>
      </c>
      <c r="AJ124" s="161">
        <v>88902</v>
      </c>
      <c r="AK124" s="161">
        <v>67041</v>
      </c>
      <c r="AL124" s="150"/>
      <c r="AM124" s="161">
        <v>11444</v>
      </c>
      <c r="AN124" s="161">
        <v>-64435</v>
      </c>
      <c r="AO124" s="160">
        <v>18122</v>
      </c>
      <c r="AQ124" s="160"/>
      <c r="AR124" s="117"/>
      <c r="AS124" s="117"/>
      <c r="AT124" s="99">
        <v>21</v>
      </c>
      <c r="AU124" s="130"/>
      <c r="AV124" s="262">
        <v>23</v>
      </c>
      <c r="AW124" s="267">
        <v>72634</v>
      </c>
      <c r="AX124" s="124"/>
      <c r="AY124" s="255">
        <v>0.74535024843625197</v>
      </c>
      <c r="AZ124" s="259">
        <v>91.157515060617101</v>
      </c>
      <c r="BA124" s="160">
        <v>-8057.7277858853977</v>
      </c>
      <c r="BB124" s="130"/>
      <c r="BC124" s="130"/>
      <c r="BD124" s="130"/>
      <c r="BE124" s="128">
        <v>31.440202216427515</v>
      </c>
      <c r="BF124" s="160">
        <v>818.25315967728602</v>
      </c>
      <c r="BG124" s="129">
        <v>20.926615895914992</v>
      </c>
      <c r="BH124" s="131">
        <v>12009.348239116667</v>
      </c>
      <c r="BI124" s="124"/>
      <c r="BJ124" s="117">
        <v>343788</v>
      </c>
      <c r="BK124" s="117">
        <v>689707</v>
      </c>
      <c r="BL124" s="161">
        <v>176</v>
      </c>
      <c r="BM124" s="161">
        <v>-345743</v>
      </c>
      <c r="BN124" s="117">
        <v>292734</v>
      </c>
      <c r="BO124" s="117">
        <v>124237</v>
      </c>
      <c r="BP124" s="136"/>
      <c r="BR124" s="160">
        <v>-4521</v>
      </c>
      <c r="BS124" s="160">
        <v>500</v>
      </c>
      <c r="BT124" s="161">
        <v>67207</v>
      </c>
      <c r="BU124" s="125">
        <v>58744</v>
      </c>
      <c r="BV124" s="160">
        <v>3875</v>
      </c>
      <c r="BX124" s="161">
        <v>12338</v>
      </c>
      <c r="BY124" s="161">
        <v>-183</v>
      </c>
      <c r="BZ124" s="160">
        <v>104</v>
      </c>
      <c r="CA124" s="160">
        <v>2211</v>
      </c>
      <c r="CB124" s="160">
        <v>-2030</v>
      </c>
      <c r="CC124" s="160">
        <v>8018</v>
      </c>
      <c r="CD124" s="160">
        <v>97571</v>
      </c>
      <c r="CE124" s="116">
        <v>55293</v>
      </c>
      <c r="CF124" s="150"/>
      <c r="CG124" s="160">
        <v>-6325</v>
      </c>
      <c r="CH124" s="160">
        <v>-91756</v>
      </c>
      <c r="CI124" s="159">
        <v>-15552</v>
      </c>
      <c r="CK124" s="124"/>
      <c r="CL124" s="161"/>
      <c r="CM124" s="124"/>
      <c r="CN124" s="265">
        <v>21</v>
      </c>
      <c r="CO124" s="130"/>
      <c r="CP124" s="116">
        <v>26</v>
      </c>
      <c r="CQ124" s="267">
        <v>72662</v>
      </c>
      <c r="CR124" s="124"/>
      <c r="CS124" s="268">
        <v>1.5017227401702473</v>
      </c>
      <c r="CT124" s="269">
        <v>87.629216239421069</v>
      </c>
      <c r="CU124" s="160">
        <v>-8084.0604442487138</v>
      </c>
      <c r="CV124" s="130"/>
      <c r="CW124" s="130"/>
      <c r="CX124" s="130"/>
      <c r="CY124" s="269">
        <v>31.860654721083275</v>
      </c>
      <c r="CZ124" s="125">
        <v>1000.4403952547411</v>
      </c>
      <c r="DA124" s="125">
        <v>30.316195146586171</v>
      </c>
      <c r="DB124" s="273">
        <v>12045.071701852412</v>
      </c>
      <c r="DC124" s="124"/>
      <c r="DD124" s="117">
        <v>353013</v>
      </c>
      <c r="DE124" s="117">
        <v>725125</v>
      </c>
      <c r="DF124" s="117">
        <v>-479</v>
      </c>
      <c r="DG124" s="117">
        <v>-372591</v>
      </c>
      <c r="DH124" s="117">
        <v>302487</v>
      </c>
      <c r="DI124" s="117">
        <v>159800</v>
      </c>
      <c r="DJ124" s="136"/>
      <c r="DL124" s="160">
        <v>-4439</v>
      </c>
      <c r="DM124" s="160">
        <v>-894</v>
      </c>
      <c r="DN124" s="161">
        <v>84363</v>
      </c>
      <c r="DO124" s="116">
        <v>63812</v>
      </c>
      <c r="DP124" s="160">
        <v>501</v>
      </c>
      <c r="DR124" s="161">
        <v>21052</v>
      </c>
      <c r="DS124" s="117">
        <v>-327</v>
      </c>
      <c r="DT124" s="116">
        <v>55</v>
      </c>
      <c r="DU124" s="116">
        <v>1279</v>
      </c>
      <c r="DV124" s="116">
        <v>-2130</v>
      </c>
      <c r="DW124" s="160">
        <v>17371</v>
      </c>
      <c r="DX124" s="160">
        <v>115567</v>
      </c>
      <c r="DY124" s="116">
        <v>84697</v>
      </c>
      <c r="DZ124" s="150"/>
      <c r="EA124" s="116">
        <v>-5671</v>
      </c>
      <c r="EB124" s="116">
        <v>-54657</v>
      </c>
      <c r="EC124" s="159">
        <v>533</v>
      </c>
      <c r="EE124" s="125"/>
      <c r="EF124" s="161"/>
      <c r="EG124" s="124"/>
      <c r="EH124" s="253">
        <v>21</v>
      </c>
      <c r="EI124" s="130"/>
      <c r="EJ124" s="125">
        <v>89</v>
      </c>
      <c r="EK124" s="116"/>
      <c r="EL124" s="159"/>
      <c r="EN124" s="116"/>
      <c r="EO124" s="116"/>
      <c r="EP124" s="159"/>
      <c r="EQ124" s="159">
        <v>-62187</v>
      </c>
      <c r="ER124" s="116">
        <v>1913</v>
      </c>
      <c r="ES124" s="116">
        <v>11355</v>
      </c>
      <c r="ET124" s="160">
        <v>-85976</v>
      </c>
      <c r="EU124" s="116">
        <v>2127</v>
      </c>
      <c r="EV124" s="116">
        <v>13004</v>
      </c>
      <c r="EW124" s="160">
        <v>-88331</v>
      </c>
      <c r="EX124" s="160">
        <v>1890</v>
      </c>
      <c r="EY124" s="160">
        <v>2277</v>
      </c>
      <c r="EZ124" s="116">
        <v>43745</v>
      </c>
      <c r="FA124" s="116">
        <v>-4037</v>
      </c>
      <c r="FB124" s="116">
        <v>95856</v>
      </c>
      <c r="FC124" s="160">
        <v>19326</v>
      </c>
      <c r="FD124" s="116">
        <v>79153</v>
      </c>
      <c r="FE124" s="116">
        <v>-13527</v>
      </c>
      <c r="FF124" s="3">
        <v>479933</v>
      </c>
      <c r="FG124" s="3">
        <v>363444</v>
      </c>
      <c r="FH124" s="3">
        <v>116489</v>
      </c>
      <c r="FI124" s="3">
        <v>10885</v>
      </c>
      <c r="FJ124" s="125">
        <v>495935</v>
      </c>
      <c r="FK124" s="160">
        <v>403227</v>
      </c>
      <c r="FL124" s="125">
        <v>92708</v>
      </c>
      <c r="FM124" s="116">
        <v>10830</v>
      </c>
      <c r="FN124" s="125">
        <v>506919</v>
      </c>
      <c r="FO124" s="116">
        <v>436273</v>
      </c>
      <c r="FP124" s="116">
        <v>70646</v>
      </c>
      <c r="FQ124" s="116">
        <v>-5671</v>
      </c>
      <c r="FR124" s="153">
        <v>15748</v>
      </c>
      <c r="FS124" s="153">
        <v>14336</v>
      </c>
      <c r="FT124" s="276">
        <v>13468</v>
      </c>
      <c r="FU124" s="3">
        <v>61497</v>
      </c>
      <c r="FV124" s="159">
        <v>29339</v>
      </c>
      <c r="FW124" s="170"/>
      <c r="FZ124" s="155"/>
      <c r="GA124" s="2"/>
      <c r="GD124" s="163"/>
      <c r="GE124" s="2"/>
      <c r="GF124" s="2"/>
    </row>
    <row r="125" spans="1:188" ht="14.5" x14ac:dyDescent="0.35">
      <c r="A125" s="72">
        <v>408</v>
      </c>
      <c r="B125" s="70" t="s">
        <v>122</v>
      </c>
      <c r="C125" s="158">
        <v>14427</v>
      </c>
      <c r="D125" s="171"/>
      <c r="E125" s="128">
        <v>0.34834002188982122</v>
      </c>
      <c r="F125" s="128">
        <v>102.0020874122944</v>
      </c>
      <c r="G125" s="129">
        <v>-7792.0565606155124</v>
      </c>
      <c r="H125" s="216"/>
      <c r="I125" s="172"/>
      <c r="J125" s="218"/>
      <c r="K125" s="128">
        <v>25.873817823871391</v>
      </c>
      <c r="L125" s="129">
        <v>973.66049767796494</v>
      </c>
      <c r="M125" s="129">
        <v>29.992132202398363</v>
      </c>
      <c r="N125" s="129">
        <v>11849.310320926043</v>
      </c>
      <c r="O125" s="129"/>
      <c r="P125" s="117">
        <v>47633</v>
      </c>
      <c r="Q125" s="161">
        <v>122288</v>
      </c>
      <c r="R125" s="161">
        <v>19</v>
      </c>
      <c r="S125" s="161">
        <v>-74636</v>
      </c>
      <c r="T125" s="124">
        <v>47777</v>
      </c>
      <c r="U125" s="124">
        <v>35853</v>
      </c>
      <c r="V125" s="136"/>
      <c r="X125" s="116">
        <v>-916</v>
      </c>
      <c r="Y125" s="116">
        <v>513</v>
      </c>
      <c r="Z125" s="161">
        <v>8591</v>
      </c>
      <c r="AA125" s="116">
        <v>9146</v>
      </c>
      <c r="AB125" s="116">
        <v>0</v>
      </c>
      <c r="AD125" s="161">
        <v>-555</v>
      </c>
      <c r="AE125" s="116">
        <v>-4</v>
      </c>
      <c r="AF125" s="116">
        <v>237</v>
      </c>
      <c r="AG125" s="116">
        <v>-3</v>
      </c>
      <c r="AH125" s="116">
        <v>-122</v>
      </c>
      <c r="AI125" s="160">
        <v>-447</v>
      </c>
      <c r="AJ125" s="161">
        <v>16520</v>
      </c>
      <c r="AK125" s="161">
        <v>8087</v>
      </c>
      <c r="AL125" s="150"/>
      <c r="AM125" s="161">
        <v>234</v>
      </c>
      <c r="AN125" s="161">
        <v>-26453</v>
      </c>
      <c r="AO125" s="160">
        <v>-10370</v>
      </c>
      <c r="AQ125" s="160"/>
      <c r="AR125" s="117"/>
      <c r="AS125" s="117"/>
      <c r="AT125" s="99">
        <v>21.5</v>
      </c>
      <c r="AU125" s="130"/>
      <c r="AV125" s="262">
        <v>115</v>
      </c>
      <c r="AW125" s="267">
        <v>14278</v>
      </c>
      <c r="AX125" s="124"/>
      <c r="AY125" s="255">
        <v>0.55509982507992039</v>
      </c>
      <c r="AZ125" s="259">
        <v>108.7101394423789</v>
      </c>
      <c r="BA125" s="160">
        <v>-8869.7296540131665</v>
      </c>
      <c r="BB125" s="130"/>
      <c r="BC125" s="130"/>
      <c r="BD125" s="130"/>
      <c r="BE125" s="128">
        <v>23.865746202057711</v>
      </c>
      <c r="BF125" s="160">
        <v>879.32483541112208</v>
      </c>
      <c r="BG125" s="129">
        <v>30.798163098584784</v>
      </c>
      <c r="BH125" s="131">
        <v>11659.616192744083</v>
      </c>
      <c r="BI125" s="124"/>
      <c r="BJ125" s="117">
        <v>48069</v>
      </c>
      <c r="BK125" s="117">
        <v>126102</v>
      </c>
      <c r="BL125" s="161">
        <v>14</v>
      </c>
      <c r="BM125" s="161">
        <v>-78019</v>
      </c>
      <c r="BN125" s="117">
        <v>49872</v>
      </c>
      <c r="BO125" s="117">
        <v>36810</v>
      </c>
      <c r="BP125" s="136"/>
      <c r="BR125" s="160">
        <v>-975</v>
      </c>
      <c r="BS125" s="160">
        <v>497</v>
      </c>
      <c r="BT125" s="161">
        <v>8185</v>
      </c>
      <c r="BU125" s="125">
        <v>9580</v>
      </c>
      <c r="BV125" s="160">
        <v>0</v>
      </c>
      <c r="BX125" s="161">
        <v>-1395</v>
      </c>
      <c r="BY125" s="160">
        <v>23</v>
      </c>
      <c r="BZ125" s="160">
        <v>0</v>
      </c>
      <c r="CA125" s="160">
        <v>-1</v>
      </c>
      <c r="CB125" s="160">
        <v>-10</v>
      </c>
      <c r="CC125" s="160">
        <v>-1381</v>
      </c>
      <c r="CD125" s="160">
        <v>14946</v>
      </c>
      <c r="CE125" s="116">
        <v>7427</v>
      </c>
      <c r="CF125" s="150"/>
      <c r="CG125" s="160">
        <v>138</v>
      </c>
      <c r="CH125" s="160">
        <v>-15561</v>
      </c>
      <c r="CI125" s="159">
        <v>-13758</v>
      </c>
      <c r="CK125" s="124"/>
      <c r="CL125" s="161"/>
      <c r="CM125" s="124"/>
      <c r="CN125" s="265">
        <v>21.5</v>
      </c>
      <c r="CO125" s="130"/>
      <c r="CP125" s="116">
        <v>99</v>
      </c>
      <c r="CQ125" s="267">
        <v>14221</v>
      </c>
      <c r="CR125" s="124"/>
      <c r="CS125" s="268">
        <v>0.7677332950686373</v>
      </c>
      <c r="CT125" s="269">
        <v>107.97605008984726</v>
      </c>
      <c r="CU125" s="160">
        <v>-9268.3355600871946</v>
      </c>
      <c r="CV125" s="130"/>
      <c r="CW125" s="130"/>
      <c r="CX125" s="130"/>
      <c r="CY125" s="269">
        <v>24.999638112976303</v>
      </c>
      <c r="CZ125" s="125">
        <v>818.43752197454467</v>
      </c>
      <c r="DA125" s="125">
        <v>24.596792403670786</v>
      </c>
      <c r="DB125" s="273">
        <v>12145.067154208566</v>
      </c>
      <c r="DC125" s="124"/>
      <c r="DD125" s="117">
        <v>49018</v>
      </c>
      <c r="DE125" s="117">
        <v>126866</v>
      </c>
      <c r="DF125" s="117">
        <v>27</v>
      </c>
      <c r="DG125" s="117">
        <v>-77821</v>
      </c>
      <c r="DH125" s="117">
        <v>50679</v>
      </c>
      <c r="DI125" s="117">
        <v>42767</v>
      </c>
      <c r="DJ125" s="136"/>
      <c r="DL125" s="160">
        <v>-1143</v>
      </c>
      <c r="DM125" s="160">
        <v>320</v>
      </c>
      <c r="DN125" s="161">
        <v>14802</v>
      </c>
      <c r="DO125" s="116">
        <v>10450</v>
      </c>
      <c r="DP125" s="160">
        <v>0</v>
      </c>
      <c r="DR125" s="161">
        <v>4352</v>
      </c>
      <c r="DS125" s="116">
        <v>-3</v>
      </c>
      <c r="DT125" s="116">
        <v>0</v>
      </c>
      <c r="DU125" s="116">
        <v>192</v>
      </c>
      <c r="DV125" s="116">
        <v>78</v>
      </c>
      <c r="DW125" s="160">
        <v>4235</v>
      </c>
      <c r="DX125" s="160">
        <v>20341</v>
      </c>
      <c r="DY125" s="116">
        <v>14218</v>
      </c>
      <c r="DZ125" s="150"/>
      <c r="EA125" s="116">
        <v>327</v>
      </c>
      <c r="EB125" s="116">
        <v>-19658</v>
      </c>
      <c r="EC125" s="159">
        <v>-6721</v>
      </c>
      <c r="EE125" s="125"/>
      <c r="EF125" s="161"/>
      <c r="EG125" s="124"/>
      <c r="EH125" s="253">
        <v>21.5</v>
      </c>
      <c r="EI125" s="130"/>
      <c r="EJ125" s="125">
        <v>116</v>
      </c>
      <c r="EK125" s="116"/>
      <c r="EL125" s="159"/>
      <c r="EN125" s="116"/>
      <c r="EO125" s="116"/>
      <c r="EP125" s="159"/>
      <c r="EQ125" s="159">
        <v>-21140</v>
      </c>
      <c r="ER125" s="116">
        <v>212</v>
      </c>
      <c r="ES125" s="116">
        <v>2471</v>
      </c>
      <c r="ET125" s="160">
        <v>-23728</v>
      </c>
      <c r="EU125" s="116">
        <v>86</v>
      </c>
      <c r="EV125" s="116">
        <v>2457</v>
      </c>
      <c r="EW125" s="160">
        <v>-24745</v>
      </c>
      <c r="EX125" s="160">
        <v>96</v>
      </c>
      <c r="EY125" s="160">
        <v>3710</v>
      </c>
      <c r="EZ125" s="116">
        <v>35348</v>
      </c>
      <c r="FA125" s="116">
        <v>47</v>
      </c>
      <c r="FB125" s="116">
        <v>23883</v>
      </c>
      <c r="FC125" s="160">
        <v>2861</v>
      </c>
      <c r="FD125" s="116">
        <v>30754</v>
      </c>
      <c r="FE125" s="116">
        <v>-921</v>
      </c>
      <c r="FF125" s="3">
        <v>101285</v>
      </c>
      <c r="FG125" s="3">
        <v>75332</v>
      </c>
      <c r="FH125" s="3">
        <v>25953</v>
      </c>
      <c r="FI125" s="3">
        <v>9</v>
      </c>
      <c r="FJ125" s="125">
        <v>112469</v>
      </c>
      <c r="FK125" s="160">
        <v>82629</v>
      </c>
      <c r="FL125" s="125">
        <v>29840</v>
      </c>
      <c r="FM125" s="116">
        <v>0</v>
      </c>
      <c r="FN125" s="125">
        <v>122668</v>
      </c>
      <c r="FO125" s="116">
        <v>93078</v>
      </c>
      <c r="FP125" s="116">
        <v>29590</v>
      </c>
      <c r="FQ125" s="116">
        <v>327</v>
      </c>
      <c r="FR125" s="153">
        <v>1230</v>
      </c>
      <c r="FS125" s="153">
        <v>1244</v>
      </c>
      <c r="FT125" s="276">
        <v>857</v>
      </c>
      <c r="FU125" s="3">
        <v>7308</v>
      </c>
      <c r="FV125" s="159">
        <v>6461</v>
      </c>
      <c r="FW125" s="170"/>
      <c r="FZ125" s="155"/>
      <c r="GA125" s="2"/>
      <c r="GD125" s="163"/>
      <c r="GE125" s="2"/>
      <c r="GF125" s="2"/>
    </row>
    <row r="126" spans="1:188" ht="14.5" x14ac:dyDescent="0.35">
      <c r="A126" s="72">
        <v>410</v>
      </c>
      <c r="B126" s="70" t="s">
        <v>123</v>
      </c>
      <c r="C126" s="158">
        <v>18927</v>
      </c>
      <c r="D126" s="171"/>
      <c r="E126" s="128">
        <v>2.5676141257536607</v>
      </c>
      <c r="F126" s="128">
        <v>102.89881638210956</v>
      </c>
      <c r="G126" s="129">
        <v>-7428.7525756855284</v>
      </c>
      <c r="H126" s="216"/>
      <c r="I126" s="172"/>
      <c r="J126" s="218"/>
      <c r="K126" s="128">
        <v>16.679182661758297</v>
      </c>
      <c r="L126" s="129">
        <v>301.42125006604323</v>
      </c>
      <c r="M126" s="129">
        <v>12.363955373206112</v>
      </c>
      <c r="N126" s="129">
        <v>8898.3462778041958</v>
      </c>
      <c r="O126" s="129"/>
      <c r="P126" s="117">
        <v>42889</v>
      </c>
      <c r="Q126" s="161">
        <v>147556</v>
      </c>
      <c r="R126" s="161">
        <v>0</v>
      </c>
      <c r="S126" s="161">
        <v>-104667</v>
      </c>
      <c r="T126" s="124">
        <v>66130</v>
      </c>
      <c r="U126" s="124">
        <v>43733</v>
      </c>
      <c r="V126" s="136"/>
      <c r="X126" s="116">
        <v>-131</v>
      </c>
      <c r="Y126" s="116">
        <v>729</v>
      </c>
      <c r="Z126" s="161">
        <v>5794</v>
      </c>
      <c r="AA126" s="116">
        <v>9245</v>
      </c>
      <c r="AB126" s="116">
        <v>0</v>
      </c>
      <c r="AD126" s="161">
        <v>-3451</v>
      </c>
      <c r="AE126" s="116">
        <v>0</v>
      </c>
      <c r="AF126" s="116">
        <v>86</v>
      </c>
      <c r="AG126" s="116">
        <v>-15</v>
      </c>
      <c r="AH126" s="117">
        <v>-40</v>
      </c>
      <c r="AI126" s="160">
        <v>-3420</v>
      </c>
      <c r="AJ126" s="161">
        <v>-3820</v>
      </c>
      <c r="AK126" s="161">
        <v>5663</v>
      </c>
      <c r="AL126" s="150"/>
      <c r="AM126" s="161">
        <v>75</v>
      </c>
      <c r="AN126" s="161">
        <v>-2154</v>
      </c>
      <c r="AO126" s="160">
        <v>-11509</v>
      </c>
      <c r="AQ126" s="160"/>
      <c r="AR126" s="117"/>
      <c r="AS126" s="117"/>
      <c r="AT126" s="99">
        <v>21.5</v>
      </c>
      <c r="AU126" s="130"/>
      <c r="AV126" s="262">
        <v>215</v>
      </c>
      <c r="AW126" s="267">
        <v>18903</v>
      </c>
      <c r="AX126" s="124"/>
      <c r="AY126" s="255">
        <v>2.7562000840689365</v>
      </c>
      <c r="AZ126" s="259">
        <v>108.2989956219418</v>
      </c>
      <c r="BA126" s="160">
        <v>-7955.9329207004175</v>
      </c>
      <c r="BB126" s="130"/>
      <c r="BC126" s="130"/>
      <c r="BD126" s="130"/>
      <c r="BE126" s="128">
        <v>14.051228013293345</v>
      </c>
      <c r="BF126" s="160">
        <v>598.74094059144056</v>
      </c>
      <c r="BG126" s="129">
        <v>13.17077218521065</v>
      </c>
      <c r="BH126" s="131">
        <v>8925.3557636354017</v>
      </c>
      <c r="BI126" s="124"/>
      <c r="BJ126" s="117">
        <v>42665</v>
      </c>
      <c r="BK126" s="117">
        <v>149102</v>
      </c>
      <c r="BL126" s="161">
        <v>0</v>
      </c>
      <c r="BM126" s="161">
        <v>-106437</v>
      </c>
      <c r="BN126" s="117">
        <v>67580</v>
      </c>
      <c r="BO126" s="117">
        <v>45075</v>
      </c>
      <c r="BP126" s="136"/>
      <c r="BR126" s="160">
        <v>-153</v>
      </c>
      <c r="BS126" s="160">
        <v>308</v>
      </c>
      <c r="BT126" s="161">
        <v>6373</v>
      </c>
      <c r="BU126" s="125">
        <v>10269</v>
      </c>
      <c r="BV126" s="160">
        <v>0</v>
      </c>
      <c r="BX126" s="161">
        <v>-3896</v>
      </c>
      <c r="BY126" s="160">
        <v>0</v>
      </c>
      <c r="BZ126" s="160">
        <v>-304</v>
      </c>
      <c r="CA126" s="161">
        <v>15</v>
      </c>
      <c r="CB126" s="161">
        <v>-182</v>
      </c>
      <c r="CC126" s="160">
        <v>-4397</v>
      </c>
      <c r="CD126" s="160">
        <v>-7842</v>
      </c>
      <c r="CE126" s="116">
        <v>5160</v>
      </c>
      <c r="CF126" s="150"/>
      <c r="CG126" s="161">
        <v>4942</v>
      </c>
      <c r="CH126" s="160">
        <v>-2195</v>
      </c>
      <c r="CI126" s="159">
        <v>-10230</v>
      </c>
      <c r="CK126" s="124"/>
      <c r="CL126" s="161"/>
      <c r="CM126" s="124"/>
      <c r="CN126" s="265">
        <v>21.5</v>
      </c>
      <c r="CO126" s="130"/>
      <c r="CP126" s="116">
        <v>192</v>
      </c>
      <c r="CQ126" s="267">
        <v>18823</v>
      </c>
      <c r="CR126" s="124"/>
      <c r="CS126" s="268">
        <v>1.6357562800641368</v>
      </c>
      <c r="CT126" s="269">
        <v>101.33737486161515</v>
      </c>
      <c r="CU126" s="160">
        <v>-8463.0505232959677</v>
      </c>
      <c r="CV126" s="130"/>
      <c r="CW126" s="130"/>
      <c r="CX126" s="130"/>
      <c r="CY126" s="269">
        <v>16.406710825315475</v>
      </c>
      <c r="CZ126" s="125">
        <v>328.7467460022313</v>
      </c>
      <c r="DA126" s="125">
        <v>11.868733578560168</v>
      </c>
      <c r="DB126" s="273">
        <v>10109.971842958084</v>
      </c>
      <c r="DC126" s="124"/>
      <c r="DD126" s="117">
        <v>42984</v>
      </c>
      <c r="DE126" s="117">
        <v>150822</v>
      </c>
      <c r="DF126" s="117">
        <v>0</v>
      </c>
      <c r="DG126" s="117">
        <v>-107838</v>
      </c>
      <c r="DH126" s="117">
        <v>71756</v>
      </c>
      <c r="DI126" s="117">
        <v>54173</v>
      </c>
      <c r="DJ126" s="136"/>
      <c r="DL126" s="160">
        <v>-320</v>
      </c>
      <c r="DM126" s="160">
        <v>246</v>
      </c>
      <c r="DN126" s="161">
        <v>18017</v>
      </c>
      <c r="DO126" s="116">
        <v>11840</v>
      </c>
      <c r="DP126" s="160">
        <v>0</v>
      </c>
      <c r="DR126" s="161">
        <v>6177</v>
      </c>
      <c r="DS126" s="116">
        <v>0</v>
      </c>
      <c r="DT126" s="116">
        <v>-198</v>
      </c>
      <c r="DU126" s="117">
        <v>0</v>
      </c>
      <c r="DV126" s="117">
        <v>-96</v>
      </c>
      <c r="DW126" s="160">
        <v>5883</v>
      </c>
      <c r="DX126" s="160">
        <v>-1626</v>
      </c>
      <c r="DY126" s="116">
        <v>16593</v>
      </c>
      <c r="DZ126" s="150"/>
      <c r="EA126" s="117">
        <v>1153</v>
      </c>
      <c r="EB126" s="116">
        <v>-10880</v>
      </c>
      <c r="EC126" s="159">
        <v>-8788</v>
      </c>
      <c r="EE126" s="125"/>
      <c r="EF126" s="161"/>
      <c r="EG126" s="124"/>
      <c r="EH126" s="253">
        <v>21.5</v>
      </c>
      <c r="EI126" s="130"/>
      <c r="EJ126" s="125">
        <v>149</v>
      </c>
      <c r="EK126" s="116"/>
      <c r="EL126" s="159"/>
      <c r="EN126" s="116"/>
      <c r="EO126" s="116"/>
      <c r="EP126" s="159"/>
      <c r="EQ126" s="159">
        <v>-18147</v>
      </c>
      <c r="ER126" s="116">
        <v>24</v>
      </c>
      <c r="ES126" s="116">
        <v>951</v>
      </c>
      <c r="ET126" s="160">
        <v>-17162</v>
      </c>
      <c r="EU126" s="116">
        <v>58</v>
      </c>
      <c r="EV126" s="116">
        <v>1714</v>
      </c>
      <c r="EW126" s="160">
        <v>-28178</v>
      </c>
      <c r="EX126" s="160">
        <v>674</v>
      </c>
      <c r="EY126" s="160">
        <v>2123</v>
      </c>
      <c r="EZ126" s="116">
        <v>5637</v>
      </c>
      <c r="FA126" s="116">
        <v>5700</v>
      </c>
      <c r="FB126" s="116">
        <v>-964</v>
      </c>
      <c r="FC126" s="160">
        <v>18813</v>
      </c>
      <c r="FD126" s="116">
        <v>38525</v>
      </c>
      <c r="FE126" s="116">
        <v>-25591</v>
      </c>
      <c r="FF126" s="3">
        <v>128124</v>
      </c>
      <c r="FG126" s="3">
        <v>54004</v>
      </c>
      <c r="FH126" s="3">
        <v>74120</v>
      </c>
      <c r="FI126" s="3">
        <v>234</v>
      </c>
      <c r="FJ126" s="125">
        <v>144610</v>
      </c>
      <c r="FK126" s="160">
        <v>51674</v>
      </c>
      <c r="FL126" s="125">
        <v>92936</v>
      </c>
      <c r="FM126" s="116">
        <v>111</v>
      </c>
      <c r="FN126" s="125">
        <v>147343</v>
      </c>
      <c r="FO126" s="116">
        <v>79995</v>
      </c>
      <c r="FP126" s="116">
        <v>67348</v>
      </c>
      <c r="FQ126" s="116">
        <v>1153</v>
      </c>
      <c r="FR126" s="153">
        <v>4263</v>
      </c>
      <c r="FS126" s="153">
        <v>5107</v>
      </c>
      <c r="FT126" s="276">
        <v>4388</v>
      </c>
      <c r="FU126" s="3">
        <v>16029</v>
      </c>
      <c r="FV126" s="159">
        <v>21551</v>
      </c>
      <c r="FW126" s="170"/>
      <c r="FZ126" s="155"/>
      <c r="GA126" s="2"/>
      <c r="GD126" s="163"/>
      <c r="GE126" s="2"/>
      <c r="GF126" s="2"/>
    </row>
    <row r="127" spans="1:188" ht="14.5" x14ac:dyDescent="0.35">
      <c r="A127" s="72">
        <v>416</v>
      </c>
      <c r="B127" s="70" t="s">
        <v>124</v>
      </c>
      <c r="C127" s="158">
        <v>3043</v>
      </c>
      <c r="D127" s="171"/>
      <c r="E127" s="128">
        <v>-0.61755952380952384</v>
      </c>
      <c r="F127" s="128">
        <v>55.654623798475306</v>
      </c>
      <c r="G127" s="129">
        <v>-4689.4511994742033</v>
      </c>
      <c r="H127" s="216"/>
      <c r="I127" s="172"/>
      <c r="J127" s="218"/>
      <c r="K127" s="128">
        <v>22.842082143641555</v>
      </c>
      <c r="L127" s="129">
        <v>299.04699309891555</v>
      </c>
      <c r="M127" s="129">
        <v>9.7458994747806695</v>
      </c>
      <c r="N127" s="129">
        <v>11199.802826158397</v>
      </c>
      <c r="O127" s="129"/>
      <c r="P127" s="117">
        <v>13688</v>
      </c>
      <c r="Q127" s="161">
        <v>31018</v>
      </c>
      <c r="R127" s="161">
        <v>4</v>
      </c>
      <c r="S127" s="161">
        <v>-17326</v>
      </c>
      <c r="T127" s="124">
        <v>10252</v>
      </c>
      <c r="U127" s="124">
        <v>6230</v>
      </c>
      <c r="V127" s="136"/>
      <c r="X127" s="116">
        <v>-79</v>
      </c>
      <c r="Y127" s="116">
        <v>13</v>
      </c>
      <c r="Z127" s="161">
        <v>-910</v>
      </c>
      <c r="AA127" s="116">
        <v>1122</v>
      </c>
      <c r="AB127" s="116">
        <v>0</v>
      </c>
      <c r="AD127" s="161">
        <v>-2032</v>
      </c>
      <c r="AE127" s="116">
        <v>0</v>
      </c>
      <c r="AF127" s="116">
        <v>-5</v>
      </c>
      <c r="AG127" s="116">
        <v>0</v>
      </c>
      <c r="AH127" s="116">
        <v>0</v>
      </c>
      <c r="AI127" s="160">
        <v>-2037</v>
      </c>
      <c r="AJ127" s="161">
        <v>-1859</v>
      </c>
      <c r="AK127" s="161">
        <v>-1457</v>
      </c>
      <c r="AL127" s="150"/>
      <c r="AM127" s="161">
        <v>234</v>
      </c>
      <c r="AN127" s="161">
        <v>-1264</v>
      </c>
      <c r="AO127" s="160">
        <v>-2822</v>
      </c>
      <c r="AQ127" s="160"/>
      <c r="AR127" s="117"/>
      <c r="AS127" s="117"/>
      <c r="AT127" s="99">
        <v>21</v>
      </c>
      <c r="AU127" s="130"/>
      <c r="AV127" s="262">
        <v>292</v>
      </c>
      <c r="AW127" s="267">
        <v>2971</v>
      </c>
      <c r="AX127" s="124"/>
      <c r="AY127" s="255">
        <v>0.26870527000650618</v>
      </c>
      <c r="AZ127" s="259">
        <v>52.347915462195672</v>
      </c>
      <c r="BA127" s="160">
        <v>-4842.140693369236</v>
      </c>
      <c r="BB127" s="130"/>
      <c r="BC127" s="130"/>
      <c r="BD127" s="130"/>
      <c r="BE127" s="128">
        <v>21.775956284153004</v>
      </c>
      <c r="BF127" s="160">
        <v>120.16156176371592</v>
      </c>
      <c r="BG127" s="129">
        <v>10.028683574879228</v>
      </c>
      <c r="BH127" s="131">
        <v>11147.761696398518</v>
      </c>
      <c r="BI127" s="124"/>
      <c r="BJ127" s="117">
        <v>14146</v>
      </c>
      <c r="BK127" s="117">
        <v>30746</v>
      </c>
      <c r="BL127" s="161">
        <v>2</v>
      </c>
      <c r="BM127" s="161">
        <v>-16598</v>
      </c>
      <c r="BN127" s="117">
        <v>10260</v>
      </c>
      <c r="BO127" s="117">
        <v>6728</v>
      </c>
      <c r="BP127" s="136"/>
      <c r="BR127" s="160">
        <v>-137</v>
      </c>
      <c r="BS127" s="160">
        <v>22</v>
      </c>
      <c r="BT127" s="161">
        <v>275</v>
      </c>
      <c r="BU127" s="125">
        <v>1049</v>
      </c>
      <c r="BV127" s="160">
        <v>154</v>
      </c>
      <c r="BX127" s="161">
        <v>-620</v>
      </c>
      <c r="BY127" s="160">
        <v>0</v>
      </c>
      <c r="BZ127" s="160">
        <v>2</v>
      </c>
      <c r="CA127" s="160">
        <v>0</v>
      </c>
      <c r="CB127" s="160">
        <v>0</v>
      </c>
      <c r="CC127" s="160">
        <v>-618</v>
      </c>
      <c r="CD127" s="160">
        <v>-2272</v>
      </c>
      <c r="CE127" s="116">
        <v>64</v>
      </c>
      <c r="CF127" s="150"/>
      <c r="CG127" s="160">
        <v>55</v>
      </c>
      <c r="CH127" s="160">
        <v>-1399</v>
      </c>
      <c r="CI127" s="159">
        <v>-165</v>
      </c>
      <c r="CK127" s="124"/>
      <c r="CL127" s="161"/>
      <c r="CM127" s="124"/>
      <c r="CN127" s="265">
        <v>21</v>
      </c>
      <c r="CO127" s="130"/>
      <c r="CP127" s="116">
        <v>264</v>
      </c>
      <c r="CQ127" s="267">
        <v>2964</v>
      </c>
      <c r="CR127" s="124"/>
      <c r="CS127" s="268">
        <v>1.2715019255455713</v>
      </c>
      <c r="CT127" s="269">
        <v>46.35773476530948</v>
      </c>
      <c r="CU127" s="160">
        <v>-4365.0472334682863</v>
      </c>
      <c r="CV127" s="130"/>
      <c r="CW127" s="130"/>
      <c r="CX127" s="130"/>
      <c r="CY127" s="269">
        <v>25.153291253381425</v>
      </c>
      <c r="CZ127" s="125">
        <v>358.97435897435895</v>
      </c>
      <c r="DA127" s="125">
        <v>11.567628749292586</v>
      </c>
      <c r="DB127" s="273">
        <v>11326.923076923076</v>
      </c>
      <c r="DC127" s="124"/>
      <c r="DD127" s="117">
        <v>14703</v>
      </c>
      <c r="DE127" s="117">
        <v>31402</v>
      </c>
      <c r="DF127" s="117">
        <v>4</v>
      </c>
      <c r="DG127" s="117">
        <v>-16695</v>
      </c>
      <c r="DH127" s="117">
        <v>10804</v>
      </c>
      <c r="DI127" s="117">
        <v>7920</v>
      </c>
      <c r="DJ127" s="136"/>
      <c r="DL127" s="160">
        <v>-131</v>
      </c>
      <c r="DM127" s="160">
        <v>-49</v>
      </c>
      <c r="DN127" s="161">
        <v>1849</v>
      </c>
      <c r="DO127" s="116">
        <v>1017</v>
      </c>
      <c r="DP127" s="160">
        <v>20</v>
      </c>
      <c r="DR127" s="161">
        <v>852</v>
      </c>
      <c r="DS127" s="116">
        <v>0</v>
      </c>
      <c r="DT127" s="116">
        <v>-1</v>
      </c>
      <c r="DU127" s="116">
        <v>0</v>
      </c>
      <c r="DV127" s="116">
        <v>-17</v>
      </c>
      <c r="DW127" s="160">
        <v>834</v>
      </c>
      <c r="DX127" s="160">
        <v>-1474</v>
      </c>
      <c r="DY127" s="116">
        <v>1682</v>
      </c>
      <c r="DZ127" s="150"/>
      <c r="EA127" s="116">
        <v>65</v>
      </c>
      <c r="EB127" s="116">
        <v>-1426</v>
      </c>
      <c r="EC127" s="159">
        <v>1479</v>
      </c>
      <c r="EE127" s="125"/>
      <c r="EF127" s="161"/>
      <c r="EG127" s="124"/>
      <c r="EH127" s="253">
        <v>22</v>
      </c>
      <c r="EI127" s="130"/>
      <c r="EJ127" s="125">
        <v>270</v>
      </c>
      <c r="EK127" s="116"/>
      <c r="EL127" s="159"/>
      <c r="EN127" s="116"/>
      <c r="EO127" s="116"/>
      <c r="EP127" s="159"/>
      <c r="EQ127" s="159">
        <v>-1710</v>
      </c>
      <c r="ER127" s="116">
        <v>0</v>
      </c>
      <c r="ES127" s="116">
        <v>345</v>
      </c>
      <c r="ET127" s="160">
        <v>-832</v>
      </c>
      <c r="EU127" s="116">
        <v>52</v>
      </c>
      <c r="EV127" s="116">
        <v>551</v>
      </c>
      <c r="EW127" s="160">
        <v>-542</v>
      </c>
      <c r="EX127" s="160">
        <v>27</v>
      </c>
      <c r="EY127" s="160">
        <v>312</v>
      </c>
      <c r="EZ127" s="116">
        <v>2035</v>
      </c>
      <c r="FA127" s="116">
        <v>144</v>
      </c>
      <c r="FB127" s="116">
        <v>2875</v>
      </c>
      <c r="FC127" s="160">
        <v>104</v>
      </c>
      <c r="FD127" s="116">
        <v>128</v>
      </c>
      <c r="FE127" s="116">
        <v>200</v>
      </c>
      <c r="FF127" s="3">
        <v>11297</v>
      </c>
      <c r="FG127" s="3">
        <v>10142</v>
      </c>
      <c r="FH127" s="3">
        <v>1155</v>
      </c>
      <c r="FI127" s="3">
        <v>197</v>
      </c>
      <c r="FJ127" s="125">
        <v>12869</v>
      </c>
      <c r="FK127" s="160">
        <v>11497</v>
      </c>
      <c r="FL127" s="125">
        <v>1372</v>
      </c>
      <c r="FM127" s="116">
        <v>197</v>
      </c>
      <c r="FN127" s="125">
        <v>11770</v>
      </c>
      <c r="FO127" s="116">
        <v>10205</v>
      </c>
      <c r="FP127" s="116">
        <v>1565</v>
      </c>
      <c r="FQ127" s="116">
        <v>65</v>
      </c>
      <c r="FR127" s="153">
        <v>44</v>
      </c>
      <c r="FS127" s="153">
        <v>2506</v>
      </c>
      <c r="FT127" s="276">
        <v>2278</v>
      </c>
      <c r="FU127" s="3">
        <v>4572</v>
      </c>
      <c r="FV127" s="159">
        <v>4773</v>
      </c>
      <c r="FW127" s="170"/>
      <c r="FZ127" s="155"/>
      <c r="GA127" s="2"/>
      <c r="GD127" s="163"/>
      <c r="GE127" s="2"/>
      <c r="GF127" s="2"/>
    </row>
    <row r="128" spans="1:188" ht="14.5" x14ac:dyDescent="0.35">
      <c r="A128" s="72">
        <v>418</v>
      </c>
      <c r="B128" s="70" t="s">
        <v>125</v>
      </c>
      <c r="C128" s="158">
        <v>23206</v>
      </c>
      <c r="D128" s="171"/>
      <c r="E128" s="128">
        <v>0.99273204903677759</v>
      </c>
      <c r="F128" s="128">
        <v>92.036064799721188</v>
      </c>
      <c r="G128" s="129">
        <v>-6246.4879772472641</v>
      </c>
      <c r="H128" s="216"/>
      <c r="I128" s="172"/>
      <c r="J128" s="218"/>
      <c r="K128" s="128">
        <v>27.80251852682132</v>
      </c>
      <c r="L128" s="129">
        <v>342.88546065672671</v>
      </c>
      <c r="M128" s="129">
        <v>13.563532686362233</v>
      </c>
      <c r="N128" s="129">
        <v>9227.1826251831426</v>
      </c>
      <c r="O128" s="129"/>
      <c r="P128" s="117">
        <v>63439</v>
      </c>
      <c r="Q128" s="161">
        <v>167347</v>
      </c>
      <c r="R128" s="161">
        <v>24</v>
      </c>
      <c r="S128" s="161">
        <v>-103884</v>
      </c>
      <c r="T128" s="124">
        <v>91776</v>
      </c>
      <c r="U128" s="124">
        <v>22687</v>
      </c>
      <c r="V128" s="136"/>
      <c r="X128" s="116">
        <v>-918</v>
      </c>
      <c r="Y128" s="116">
        <v>736</v>
      </c>
      <c r="Z128" s="161">
        <v>10397</v>
      </c>
      <c r="AA128" s="116">
        <v>14504</v>
      </c>
      <c r="AB128" s="116">
        <v>0</v>
      </c>
      <c r="AD128" s="161">
        <v>-4107</v>
      </c>
      <c r="AE128" s="117">
        <v>-86</v>
      </c>
      <c r="AF128" s="117">
        <v>1</v>
      </c>
      <c r="AG128" s="116">
        <v>-143</v>
      </c>
      <c r="AH128" s="116">
        <v>-42</v>
      </c>
      <c r="AI128" s="160">
        <v>-4377</v>
      </c>
      <c r="AJ128" s="161">
        <v>16229</v>
      </c>
      <c r="AK128" s="161">
        <v>9189</v>
      </c>
      <c r="AL128" s="150"/>
      <c r="AM128" s="161">
        <v>-4523</v>
      </c>
      <c r="AN128" s="161">
        <v>-10480</v>
      </c>
      <c r="AO128" s="160">
        <v>-21764</v>
      </c>
      <c r="AQ128" s="160"/>
      <c r="AR128" s="117"/>
      <c r="AS128" s="117"/>
      <c r="AT128" s="99">
        <v>20.5</v>
      </c>
      <c r="AU128" s="130"/>
      <c r="AV128" s="262">
        <v>161</v>
      </c>
      <c r="AW128" s="267">
        <v>23523</v>
      </c>
      <c r="AX128" s="124"/>
      <c r="AY128" s="255">
        <v>1.022203885679994</v>
      </c>
      <c r="AZ128" s="259">
        <v>98.650381196085149</v>
      </c>
      <c r="BA128" s="160">
        <v>-7203.6730008927434</v>
      </c>
      <c r="BB128" s="130"/>
      <c r="BC128" s="130"/>
      <c r="BD128" s="130"/>
      <c r="BE128" s="128">
        <v>25.149233952158106</v>
      </c>
      <c r="BF128" s="160">
        <v>268.58819028185184</v>
      </c>
      <c r="BG128" s="129">
        <v>12.472054623923732</v>
      </c>
      <c r="BH128" s="131">
        <v>9899.4601028780344</v>
      </c>
      <c r="BI128" s="124"/>
      <c r="BJ128" s="117">
        <v>68504</v>
      </c>
      <c r="BK128" s="117">
        <v>176656</v>
      </c>
      <c r="BL128" s="161">
        <v>-13</v>
      </c>
      <c r="BM128" s="161">
        <v>-108165</v>
      </c>
      <c r="BN128" s="117">
        <v>96994</v>
      </c>
      <c r="BO128" s="117">
        <v>24037</v>
      </c>
      <c r="BP128" s="136"/>
      <c r="BR128" s="160">
        <v>-863</v>
      </c>
      <c r="BS128" s="160">
        <v>740</v>
      </c>
      <c r="BT128" s="161">
        <v>12743</v>
      </c>
      <c r="BU128" s="125">
        <v>14761</v>
      </c>
      <c r="BV128" s="160">
        <v>0</v>
      </c>
      <c r="BX128" s="161">
        <v>-2018</v>
      </c>
      <c r="BY128" s="161">
        <v>-85</v>
      </c>
      <c r="BZ128" s="160">
        <v>0</v>
      </c>
      <c r="CA128" s="160">
        <v>130</v>
      </c>
      <c r="CB128" s="160">
        <v>-105</v>
      </c>
      <c r="CC128" s="160">
        <v>-2338</v>
      </c>
      <c r="CD128" s="160">
        <v>13719</v>
      </c>
      <c r="CE128" s="116">
        <v>9910</v>
      </c>
      <c r="CF128" s="150"/>
      <c r="CG128" s="160">
        <v>-3304</v>
      </c>
      <c r="CH128" s="160">
        <v>-12447</v>
      </c>
      <c r="CI128" s="159">
        <v>-24468</v>
      </c>
      <c r="CK128" s="124"/>
      <c r="CL128" s="161"/>
      <c r="CM128" s="124"/>
      <c r="CN128" s="265">
        <v>20.5</v>
      </c>
      <c r="CO128" s="130"/>
      <c r="CP128" s="116">
        <v>104</v>
      </c>
      <c r="CQ128" s="267">
        <v>23828</v>
      </c>
      <c r="CR128" s="124"/>
      <c r="CS128" s="268">
        <v>1.3781607892051253</v>
      </c>
      <c r="CT128" s="269">
        <v>99.766619278897238</v>
      </c>
      <c r="CU128" s="160">
        <v>-7130.812489508141</v>
      </c>
      <c r="CV128" s="130"/>
      <c r="CW128" s="130"/>
      <c r="CX128" s="130"/>
      <c r="CY128" s="269">
        <v>25.560342203553102</v>
      </c>
      <c r="CZ128" s="125">
        <v>734.09434278999493</v>
      </c>
      <c r="DA128" s="125">
        <v>27.939190519742514</v>
      </c>
      <c r="DB128" s="273">
        <v>9590.2719489676001</v>
      </c>
      <c r="DC128" s="124"/>
      <c r="DD128" s="117">
        <v>69652</v>
      </c>
      <c r="DE128" s="117">
        <v>182711</v>
      </c>
      <c r="DF128" s="117">
        <v>-11</v>
      </c>
      <c r="DG128" s="117">
        <v>-113070</v>
      </c>
      <c r="DH128" s="117">
        <v>102509</v>
      </c>
      <c r="DI128" s="117">
        <v>33940</v>
      </c>
      <c r="DJ128" s="136"/>
      <c r="DL128" s="160">
        <v>-870</v>
      </c>
      <c r="DM128" s="160">
        <v>895</v>
      </c>
      <c r="DN128" s="161">
        <v>23404</v>
      </c>
      <c r="DO128" s="116">
        <v>15168</v>
      </c>
      <c r="DP128" s="160">
        <v>0</v>
      </c>
      <c r="DR128" s="161">
        <v>8236</v>
      </c>
      <c r="DS128" s="117">
        <v>-287</v>
      </c>
      <c r="DT128" s="116">
        <v>0</v>
      </c>
      <c r="DU128" s="116">
        <v>255</v>
      </c>
      <c r="DV128" s="116">
        <v>-224</v>
      </c>
      <c r="DW128" s="160">
        <v>7470</v>
      </c>
      <c r="DX128" s="160">
        <v>21609</v>
      </c>
      <c r="DY128" s="116">
        <v>20783</v>
      </c>
      <c r="DZ128" s="150"/>
      <c r="EA128" s="116">
        <v>-7006</v>
      </c>
      <c r="EB128" s="116">
        <v>-16734</v>
      </c>
      <c r="EC128" s="159">
        <v>-912</v>
      </c>
      <c r="EE128" s="125"/>
      <c r="EF128" s="161"/>
      <c r="EG128" s="124"/>
      <c r="EH128" s="253">
        <v>20.5</v>
      </c>
      <c r="EI128" s="130"/>
      <c r="EJ128" s="125">
        <v>138</v>
      </c>
      <c r="EK128" s="116"/>
      <c r="EL128" s="159"/>
      <c r="EN128" s="116"/>
      <c r="EO128" s="116"/>
      <c r="EP128" s="159"/>
      <c r="EQ128" s="159">
        <v>-35261</v>
      </c>
      <c r="ER128" s="116">
        <v>2177</v>
      </c>
      <c r="ES128" s="116">
        <v>2131</v>
      </c>
      <c r="ET128" s="160">
        <v>-42785</v>
      </c>
      <c r="EU128" s="116">
        <v>5735</v>
      </c>
      <c r="EV128" s="116">
        <v>2672</v>
      </c>
      <c r="EW128" s="160">
        <v>-28009</v>
      </c>
      <c r="EX128" s="160">
        <v>1174</v>
      </c>
      <c r="EY128" s="160">
        <v>5140</v>
      </c>
      <c r="EZ128" s="116">
        <v>21659</v>
      </c>
      <c r="FA128" s="116">
        <v>4963</v>
      </c>
      <c r="FB128" s="116">
        <v>29223</v>
      </c>
      <c r="FC128" s="160">
        <v>8504</v>
      </c>
      <c r="FD128" s="116">
        <v>26678</v>
      </c>
      <c r="FE128" s="116">
        <v>4070</v>
      </c>
      <c r="FF128" s="3">
        <v>128938</v>
      </c>
      <c r="FG128" s="3">
        <v>110182</v>
      </c>
      <c r="FH128" s="3">
        <v>18756</v>
      </c>
      <c r="FI128" s="3">
        <v>316</v>
      </c>
      <c r="FJ128" s="125">
        <v>154399</v>
      </c>
      <c r="FK128" s="160">
        <v>125431</v>
      </c>
      <c r="FL128" s="125">
        <v>28968</v>
      </c>
      <c r="FM128" s="116">
        <v>313</v>
      </c>
      <c r="FN128" s="125">
        <v>168413</v>
      </c>
      <c r="FO128" s="116">
        <v>134438</v>
      </c>
      <c r="FP128" s="116">
        <v>33975</v>
      </c>
      <c r="FQ128" s="116">
        <v>-7006</v>
      </c>
      <c r="FR128" s="153">
        <v>15639</v>
      </c>
      <c r="FS128" s="153">
        <v>14729</v>
      </c>
      <c r="FT128" s="276">
        <v>13376</v>
      </c>
      <c r="FU128" s="3">
        <v>10606</v>
      </c>
      <c r="FV128" s="159">
        <v>30293</v>
      </c>
      <c r="FW128" s="170"/>
      <c r="FZ128" s="155"/>
      <c r="GA128" s="2"/>
      <c r="GD128" s="163"/>
      <c r="GE128" s="2"/>
      <c r="GF128" s="2"/>
    </row>
    <row r="129" spans="1:188" ht="14.5" x14ac:dyDescent="0.35">
      <c r="A129" s="72">
        <v>420</v>
      </c>
      <c r="B129" s="70" t="s">
        <v>126</v>
      </c>
      <c r="C129" s="158">
        <v>9650</v>
      </c>
      <c r="D129" s="171"/>
      <c r="E129" s="128">
        <v>1.3090796019900497</v>
      </c>
      <c r="F129" s="128">
        <v>51.758757144950899</v>
      </c>
      <c r="G129" s="129">
        <v>-3898.4455958549224</v>
      </c>
      <c r="H129" s="216"/>
      <c r="I129" s="172"/>
      <c r="J129" s="218"/>
      <c r="K129" s="128">
        <v>46.67481434682189</v>
      </c>
      <c r="L129" s="129">
        <v>687.15025906735752</v>
      </c>
      <c r="M129" s="129">
        <v>23.20020513213769</v>
      </c>
      <c r="N129" s="129">
        <v>10810.673575129533</v>
      </c>
      <c r="O129" s="129"/>
      <c r="P129" s="117">
        <v>35387</v>
      </c>
      <c r="Q129" s="161">
        <v>91930</v>
      </c>
      <c r="R129" s="161">
        <v>81</v>
      </c>
      <c r="S129" s="161">
        <v>-56462</v>
      </c>
      <c r="T129" s="124">
        <v>34685</v>
      </c>
      <c r="U129" s="124">
        <v>25450</v>
      </c>
      <c r="V129" s="136"/>
      <c r="X129" s="116">
        <v>-392</v>
      </c>
      <c r="Y129" s="116">
        <v>498</v>
      </c>
      <c r="Z129" s="161">
        <v>3779</v>
      </c>
      <c r="AA129" s="116">
        <v>5428</v>
      </c>
      <c r="AB129" s="116">
        <v>-88</v>
      </c>
      <c r="AD129" s="161">
        <v>-1737</v>
      </c>
      <c r="AE129" s="117">
        <v>-5</v>
      </c>
      <c r="AF129" s="117">
        <v>70</v>
      </c>
      <c r="AG129" s="116">
        <v>-1</v>
      </c>
      <c r="AH129" s="116">
        <v>-3</v>
      </c>
      <c r="AI129" s="160">
        <v>-1676</v>
      </c>
      <c r="AJ129" s="161">
        <v>3230</v>
      </c>
      <c r="AK129" s="161">
        <v>3634</v>
      </c>
      <c r="AL129" s="150"/>
      <c r="AM129" s="161">
        <v>-282</v>
      </c>
      <c r="AN129" s="161">
        <v>-2785</v>
      </c>
      <c r="AO129" s="160">
        <v>-3865</v>
      </c>
      <c r="AQ129" s="160"/>
      <c r="AR129" s="117"/>
      <c r="AS129" s="117"/>
      <c r="AT129" s="99">
        <v>21</v>
      </c>
      <c r="AU129" s="130"/>
      <c r="AV129" s="262">
        <v>185</v>
      </c>
      <c r="AW129" s="267">
        <v>9454</v>
      </c>
      <c r="AX129" s="124"/>
      <c r="AY129" s="255">
        <v>1.0939861978310876</v>
      </c>
      <c r="AZ129" s="259">
        <v>53.286458990204736</v>
      </c>
      <c r="BA129" s="160">
        <v>-4211.550666384599</v>
      </c>
      <c r="BB129" s="130"/>
      <c r="BC129" s="130"/>
      <c r="BD129" s="130"/>
      <c r="BE129" s="128">
        <v>44.096809171395186</v>
      </c>
      <c r="BF129" s="160">
        <v>702.45398773006139</v>
      </c>
      <c r="BG129" s="129">
        <v>23.365905391407292</v>
      </c>
      <c r="BH129" s="131">
        <v>10721.916649037445</v>
      </c>
      <c r="BI129" s="124"/>
      <c r="BJ129" s="117">
        <v>35702</v>
      </c>
      <c r="BK129" s="117">
        <v>92644</v>
      </c>
      <c r="BL129" s="161">
        <v>59</v>
      </c>
      <c r="BM129" s="161">
        <v>-56883</v>
      </c>
      <c r="BN129" s="117">
        <v>34789</v>
      </c>
      <c r="BO129" s="117">
        <v>24657</v>
      </c>
      <c r="BP129" s="136"/>
      <c r="BR129" s="160">
        <v>-310</v>
      </c>
      <c r="BS129" s="160">
        <v>717</v>
      </c>
      <c r="BT129" s="161">
        <v>2970</v>
      </c>
      <c r="BU129" s="125">
        <v>6047</v>
      </c>
      <c r="BV129" s="160">
        <v>-426</v>
      </c>
      <c r="BX129" s="161">
        <v>-3503</v>
      </c>
      <c r="BY129" s="161">
        <v>-27</v>
      </c>
      <c r="BZ129" s="161">
        <v>-148</v>
      </c>
      <c r="CA129" s="160">
        <v>11</v>
      </c>
      <c r="CB129" s="160">
        <v>-5</v>
      </c>
      <c r="CC129" s="160">
        <v>-3694</v>
      </c>
      <c r="CD129" s="160">
        <v>-92</v>
      </c>
      <c r="CE129" s="116">
        <v>2942</v>
      </c>
      <c r="CF129" s="150"/>
      <c r="CG129" s="161">
        <v>996</v>
      </c>
      <c r="CH129" s="160">
        <v>-2684</v>
      </c>
      <c r="CI129" s="159">
        <v>-2364</v>
      </c>
      <c r="CK129" s="124"/>
      <c r="CL129" s="161"/>
      <c r="CM129" s="124"/>
      <c r="CN129" s="265">
        <v>21</v>
      </c>
      <c r="CO129" s="130"/>
      <c r="CP129" s="116">
        <v>205</v>
      </c>
      <c r="CQ129" s="267">
        <v>9402</v>
      </c>
      <c r="CR129" s="124"/>
      <c r="CS129" s="268">
        <v>3.0657848938391923</v>
      </c>
      <c r="CT129" s="269">
        <v>50.315601429138546</v>
      </c>
      <c r="CU129" s="160">
        <v>-3712.1888959795788</v>
      </c>
      <c r="CV129" s="130"/>
      <c r="CW129" s="130"/>
      <c r="CX129" s="130"/>
      <c r="CY129" s="269">
        <v>44.97795148303134</v>
      </c>
      <c r="CZ129" s="125">
        <v>1204.7436715592428</v>
      </c>
      <c r="DA129" s="125">
        <v>41.180885502266051</v>
      </c>
      <c r="DB129" s="273">
        <v>10678.047223994894</v>
      </c>
      <c r="DC129" s="124"/>
      <c r="DD129" s="117">
        <v>36084</v>
      </c>
      <c r="DE129" s="117">
        <v>92760</v>
      </c>
      <c r="DF129" s="117">
        <v>83</v>
      </c>
      <c r="DG129" s="117">
        <v>-56593</v>
      </c>
      <c r="DH129" s="117">
        <v>35499</v>
      </c>
      <c r="DI129" s="117">
        <v>29177</v>
      </c>
      <c r="DJ129" s="136"/>
      <c r="DL129" s="160">
        <v>-301</v>
      </c>
      <c r="DM129" s="160">
        <v>677</v>
      </c>
      <c r="DN129" s="161">
        <v>8459</v>
      </c>
      <c r="DO129" s="116">
        <v>6949</v>
      </c>
      <c r="DP129" s="160">
        <v>15</v>
      </c>
      <c r="DR129" s="161">
        <v>1525</v>
      </c>
      <c r="DS129" s="117">
        <v>-12</v>
      </c>
      <c r="DT129" s="117">
        <v>164</v>
      </c>
      <c r="DU129" s="116">
        <v>7</v>
      </c>
      <c r="DV129" s="116">
        <v>-5</v>
      </c>
      <c r="DW129" s="160">
        <v>1665</v>
      </c>
      <c r="DX129" s="160">
        <v>1973</v>
      </c>
      <c r="DY129" s="116">
        <v>8350</v>
      </c>
      <c r="DZ129" s="150"/>
      <c r="EA129" s="117">
        <v>-224</v>
      </c>
      <c r="EB129" s="116">
        <v>-2524</v>
      </c>
      <c r="EC129" s="159">
        <v>3906</v>
      </c>
      <c r="EE129" s="125"/>
      <c r="EF129" s="161"/>
      <c r="EG129" s="124"/>
      <c r="EH129" s="253">
        <v>21</v>
      </c>
      <c r="EI129" s="130"/>
      <c r="EJ129" s="125">
        <v>192</v>
      </c>
      <c r="EK129" s="116"/>
      <c r="EL129" s="159"/>
      <c r="EN129" s="116"/>
      <c r="EO129" s="116"/>
      <c r="EP129" s="159"/>
      <c r="EQ129" s="159">
        <v>-8947</v>
      </c>
      <c r="ER129" s="116">
        <v>1107</v>
      </c>
      <c r="ES129" s="116">
        <v>341</v>
      </c>
      <c r="ET129" s="160">
        <v>-5592</v>
      </c>
      <c r="EU129" s="116">
        <v>174</v>
      </c>
      <c r="EV129" s="116">
        <v>112</v>
      </c>
      <c r="EW129" s="160">
        <v>-4717</v>
      </c>
      <c r="EX129" s="160">
        <v>14</v>
      </c>
      <c r="EY129" s="160">
        <v>259</v>
      </c>
      <c r="EZ129" s="116">
        <v>3751</v>
      </c>
      <c r="FA129" s="116">
        <v>71</v>
      </c>
      <c r="FB129" s="116">
        <v>1550</v>
      </c>
      <c r="FC129" s="160">
        <v>3019</v>
      </c>
      <c r="FD129" s="116">
        <v>1870</v>
      </c>
      <c r="FE129" s="116">
        <v>891</v>
      </c>
      <c r="FF129" s="3">
        <v>36290</v>
      </c>
      <c r="FG129" s="3">
        <v>33481</v>
      </c>
      <c r="FH129" s="3">
        <v>2809</v>
      </c>
      <c r="FI129" s="3">
        <v>495</v>
      </c>
      <c r="FJ129" s="125">
        <v>38177</v>
      </c>
      <c r="FK129" s="160">
        <v>32370</v>
      </c>
      <c r="FL129" s="125">
        <v>5807</v>
      </c>
      <c r="FM129" s="116">
        <v>390</v>
      </c>
      <c r="FN129" s="125">
        <v>38644</v>
      </c>
      <c r="FO129" s="116">
        <v>31558</v>
      </c>
      <c r="FP129" s="116">
        <v>7086</v>
      </c>
      <c r="FQ129" s="116">
        <v>-224</v>
      </c>
      <c r="FR129" s="153">
        <v>603</v>
      </c>
      <c r="FS129" s="153">
        <v>558</v>
      </c>
      <c r="FT129" s="276">
        <v>132</v>
      </c>
      <c r="FU129" s="3">
        <v>10343</v>
      </c>
      <c r="FV129" s="159">
        <v>10118</v>
      </c>
      <c r="FW129" s="170"/>
      <c r="FZ129" s="155"/>
      <c r="GA129" s="2"/>
      <c r="GD129" s="163"/>
      <c r="GE129" s="2"/>
      <c r="GF129" s="2"/>
    </row>
    <row r="130" spans="1:188" ht="14.5" x14ac:dyDescent="0.35">
      <c r="A130" s="72">
        <v>421</v>
      </c>
      <c r="B130" s="70" t="s">
        <v>127</v>
      </c>
      <c r="C130" s="158">
        <v>737</v>
      </c>
      <c r="D130" s="171"/>
      <c r="E130" s="128">
        <v>0.57988165680473369</v>
      </c>
      <c r="F130" s="128">
        <v>41.702432045779688</v>
      </c>
      <c r="G130" s="129">
        <v>-4943.0122116689281</v>
      </c>
      <c r="H130" s="216"/>
      <c r="I130" s="172"/>
      <c r="J130" s="218"/>
      <c r="K130" s="128">
        <v>56.916827025871285</v>
      </c>
      <c r="L130" s="129">
        <v>1857.5305291723203</v>
      </c>
      <c r="M130" s="129">
        <v>33.569701041316762</v>
      </c>
      <c r="N130" s="129">
        <v>20196.743554952507</v>
      </c>
      <c r="O130" s="129"/>
      <c r="P130" s="117">
        <v>8595</v>
      </c>
      <c r="Q130" s="161">
        <v>13815</v>
      </c>
      <c r="R130" s="161">
        <v>27</v>
      </c>
      <c r="S130" s="161">
        <v>-5193</v>
      </c>
      <c r="T130" s="124">
        <v>2420</v>
      </c>
      <c r="U130" s="124">
        <v>2965</v>
      </c>
      <c r="V130" s="136"/>
      <c r="X130" s="116">
        <v>-27</v>
      </c>
      <c r="Y130" s="116">
        <v>-2</v>
      </c>
      <c r="Z130" s="161">
        <v>163</v>
      </c>
      <c r="AA130" s="116">
        <v>616</v>
      </c>
      <c r="AB130" s="117">
        <v>50</v>
      </c>
      <c r="AD130" s="161">
        <v>-403</v>
      </c>
      <c r="AE130" s="116">
        <v>-1</v>
      </c>
      <c r="AF130" s="116">
        <v>-38</v>
      </c>
      <c r="AG130" s="116">
        <v>0</v>
      </c>
      <c r="AH130" s="116">
        <v>2</v>
      </c>
      <c r="AI130" s="160">
        <v>-440</v>
      </c>
      <c r="AJ130" s="161">
        <v>2007</v>
      </c>
      <c r="AK130" s="161">
        <v>-17</v>
      </c>
      <c r="AL130" s="150"/>
      <c r="AM130" s="161">
        <v>381</v>
      </c>
      <c r="AN130" s="161">
        <v>-305</v>
      </c>
      <c r="AO130" s="160">
        <v>-570</v>
      </c>
      <c r="AQ130" s="160"/>
      <c r="AR130" s="117"/>
      <c r="AS130" s="117"/>
      <c r="AT130" s="99">
        <v>21</v>
      </c>
      <c r="AU130" s="130"/>
      <c r="AV130" s="262">
        <v>246</v>
      </c>
      <c r="AW130" s="267">
        <v>719</v>
      </c>
      <c r="AX130" s="124"/>
      <c r="AY130" s="255">
        <v>0.49751243781094528</v>
      </c>
      <c r="AZ130" s="259">
        <v>49.778403095321842</v>
      </c>
      <c r="BA130" s="160">
        <v>-6022.2531293463144</v>
      </c>
      <c r="BB130" s="130"/>
      <c r="BC130" s="130"/>
      <c r="BD130" s="130"/>
      <c r="BE130" s="128">
        <v>48.234458259325045</v>
      </c>
      <c r="BF130" s="160">
        <v>2496.5229485396385</v>
      </c>
      <c r="BG130" s="129">
        <v>33.217110948613971</v>
      </c>
      <c r="BH130" s="131">
        <v>20922.114047287898</v>
      </c>
      <c r="BI130" s="124"/>
      <c r="BJ130" s="117">
        <v>8512</v>
      </c>
      <c r="BK130" s="117">
        <v>14151</v>
      </c>
      <c r="BL130" s="161">
        <v>28</v>
      </c>
      <c r="BM130" s="161">
        <v>-5611</v>
      </c>
      <c r="BN130" s="117">
        <v>2381</v>
      </c>
      <c r="BO130" s="117">
        <v>3321</v>
      </c>
      <c r="BP130" s="136"/>
      <c r="BR130" s="160">
        <v>-28</v>
      </c>
      <c r="BS130" s="160">
        <v>4</v>
      </c>
      <c r="BT130" s="161">
        <v>67</v>
      </c>
      <c r="BU130" s="125">
        <v>811</v>
      </c>
      <c r="BV130" s="161">
        <v>0</v>
      </c>
      <c r="BX130" s="161">
        <v>-744</v>
      </c>
      <c r="BY130" s="160">
        <v>-1</v>
      </c>
      <c r="BZ130" s="160">
        <v>-13</v>
      </c>
      <c r="CA130" s="160">
        <v>0</v>
      </c>
      <c r="CB130" s="160">
        <v>4</v>
      </c>
      <c r="CC130" s="160">
        <v>-754</v>
      </c>
      <c r="CD130" s="160">
        <v>1278</v>
      </c>
      <c r="CE130" s="116">
        <v>29</v>
      </c>
      <c r="CF130" s="150"/>
      <c r="CG130" s="160">
        <v>-141</v>
      </c>
      <c r="CH130" s="160">
        <v>-168</v>
      </c>
      <c r="CI130" s="159">
        <v>-631</v>
      </c>
      <c r="CK130" s="124"/>
      <c r="CL130" s="161"/>
      <c r="CM130" s="124"/>
      <c r="CN130" s="265">
        <v>21</v>
      </c>
      <c r="CO130" s="130"/>
      <c r="CP130" s="116">
        <v>262</v>
      </c>
      <c r="CQ130" s="267">
        <v>722</v>
      </c>
      <c r="CR130" s="124"/>
      <c r="CS130" s="268">
        <v>4.3710691823899372</v>
      </c>
      <c r="CT130" s="269">
        <v>77.536621421851905</v>
      </c>
      <c r="CU130" s="160">
        <v>-11307.479224376732</v>
      </c>
      <c r="CV130" s="130"/>
      <c r="CW130" s="130"/>
      <c r="CX130" s="130"/>
      <c r="CY130" s="269">
        <v>36.699773291590198</v>
      </c>
      <c r="CZ130" s="125">
        <v>2599.7229916897504</v>
      </c>
      <c r="DA130" s="125">
        <v>36.298876761682742</v>
      </c>
      <c r="DB130" s="273">
        <v>26141.274238227146</v>
      </c>
      <c r="DC130" s="124"/>
      <c r="DD130" s="117">
        <v>8882</v>
      </c>
      <c r="DE130" s="117">
        <v>14230</v>
      </c>
      <c r="DF130" s="117">
        <v>27</v>
      </c>
      <c r="DG130" s="117">
        <v>-5321</v>
      </c>
      <c r="DH130" s="117">
        <v>2542</v>
      </c>
      <c r="DI130" s="117">
        <v>3458</v>
      </c>
      <c r="DJ130" s="136"/>
      <c r="DL130" s="160">
        <v>-22</v>
      </c>
      <c r="DM130" s="160">
        <v>6</v>
      </c>
      <c r="DN130" s="161">
        <v>663</v>
      </c>
      <c r="DO130" s="116">
        <v>639</v>
      </c>
      <c r="DP130" s="161">
        <v>-1</v>
      </c>
      <c r="DR130" s="161">
        <v>23</v>
      </c>
      <c r="DS130" s="116">
        <v>0</v>
      </c>
      <c r="DT130" s="116">
        <v>-8</v>
      </c>
      <c r="DU130" s="116">
        <v>0</v>
      </c>
      <c r="DV130" s="116">
        <v>-2</v>
      </c>
      <c r="DW130" s="160">
        <v>13</v>
      </c>
      <c r="DX130" s="160">
        <v>1290</v>
      </c>
      <c r="DY130" s="116">
        <v>636</v>
      </c>
      <c r="DZ130" s="150"/>
      <c r="EA130" s="116">
        <v>-566</v>
      </c>
      <c r="EB130" s="116">
        <v>-127</v>
      </c>
      <c r="EC130" s="159">
        <v>-3844</v>
      </c>
      <c r="EE130" s="125"/>
      <c r="EF130" s="161"/>
      <c r="EG130" s="124"/>
      <c r="EH130" s="253">
        <v>21</v>
      </c>
      <c r="EI130" s="130"/>
      <c r="EJ130" s="125">
        <v>180</v>
      </c>
      <c r="EK130" s="116"/>
      <c r="EL130" s="159"/>
      <c r="EN130" s="116"/>
      <c r="EO130" s="116"/>
      <c r="EP130" s="159"/>
      <c r="EQ130" s="159">
        <v>-726</v>
      </c>
      <c r="ER130" s="116">
        <v>5</v>
      </c>
      <c r="ES130" s="116">
        <v>168</v>
      </c>
      <c r="ET130" s="160">
        <v>-673</v>
      </c>
      <c r="EU130" s="116">
        <v>0</v>
      </c>
      <c r="EV130" s="116">
        <v>13</v>
      </c>
      <c r="EW130" s="160">
        <v>-4485</v>
      </c>
      <c r="EX130" s="160">
        <v>4</v>
      </c>
      <c r="EY130" s="160">
        <v>1</v>
      </c>
      <c r="EZ130" s="116">
        <v>95</v>
      </c>
      <c r="FA130" s="116">
        <v>-76</v>
      </c>
      <c r="FB130" s="116">
        <v>1251</v>
      </c>
      <c r="FC130" s="160">
        <v>-18</v>
      </c>
      <c r="FD130" s="116">
        <v>3973</v>
      </c>
      <c r="FE130" s="116">
        <v>-56</v>
      </c>
      <c r="FF130" s="3">
        <v>3949</v>
      </c>
      <c r="FG130" s="3">
        <v>3825</v>
      </c>
      <c r="FH130" s="3">
        <v>124</v>
      </c>
      <c r="FI130" s="3">
        <v>0</v>
      </c>
      <c r="FJ130" s="125">
        <v>5084</v>
      </c>
      <c r="FK130" s="160">
        <v>4943</v>
      </c>
      <c r="FL130" s="125">
        <v>141</v>
      </c>
      <c r="FM130" s="116">
        <v>0</v>
      </c>
      <c r="FN130" s="125">
        <v>8905</v>
      </c>
      <c r="FO130" s="116">
        <v>8750</v>
      </c>
      <c r="FP130" s="116">
        <v>155</v>
      </c>
      <c r="FQ130" s="116">
        <v>-566</v>
      </c>
      <c r="FR130" s="153">
        <v>395</v>
      </c>
      <c r="FS130" s="153">
        <v>337</v>
      </c>
      <c r="FT130" s="276">
        <v>291</v>
      </c>
      <c r="FU130" s="3">
        <v>35</v>
      </c>
      <c r="FV130" s="159">
        <v>376</v>
      </c>
      <c r="FW130" s="170"/>
      <c r="FZ130" s="155"/>
      <c r="GA130" s="2"/>
      <c r="GD130" s="163"/>
      <c r="GE130" s="2"/>
      <c r="GF130" s="2"/>
    </row>
    <row r="131" spans="1:188" ht="14.5" x14ac:dyDescent="0.35">
      <c r="A131" s="72">
        <v>422</v>
      </c>
      <c r="B131" s="70" t="s">
        <v>128</v>
      </c>
      <c r="C131" s="158">
        <v>11098</v>
      </c>
      <c r="D131" s="171"/>
      <c r="E131" s="128">
        <v>0.64331370899915896</v>
      </c>
      <c r="F131" s="128">
        <v>36.87971823679576</v>
      </c>
      <c r="G131" s="129">
        <v>-2373.1302937466212</v>
      </c>
      <c r="H131" s="216"/>
      <c r="I131" s="172"/>
      <c r="J131" s="218"/>
      <c r="K131" s="128">
        <v>55.082518067155959</v>
      </c>
      <c r="L131" s="129">
        <v>1372.7698684447648</v>
      </c>
      <c r="M131" s="129">
        <v>34.910413279175323</v>
      </c>
      <c r="N131" s="129">
        <v>14352.766264191747</v>
      </c>
      <c r="O131" s="129"/>
      <c r="P131" s="117">
        <v>70729</v>
      </c>
      <c r="Q131" s="161">
        <v>139581</v>
      </c>
      <c r="R131" s="161">
        <v>-2</v>
      </c>
      <c r="S131" s="161">
        <v>-68854</v>
      </c>
      <c r="T131" s="124">
        <v>38403</v>
      </c>
      <c r="U131" s="124">
        <v>37374</v>
      </c>
      <c r="V131" s="136"/>
      <c r="X131" s="116">
        <v>-392</v>
      </c>
      <c r="Y131" s="116">
        <v>541</v>
      </c>
      <c r="Z131" s="161">
        <v>7072</v>
      </c>
      <c r="AA131" s="116">
        <v>6056</v>
      </c>
      <c r="AB131" s="116">
        <v>0</v>
      </c>
      <c r="AD131" s="161">
        <v>1016</v>
      </c>
      <c r="AE131" s="116">
        <v>0</v>
      </c>
      <c r="AF131" s="116">
        <v>1</v>
      </c>
      <c r="AG131" s="116">
        <v>0</v>
      </c>
      <c r="AH131" s="117">
        <v>51</v>
      </c>
      <c r="AI131" s="160">
        <v>1068</v>
      </c>
      <c r="AJ131" s="161">
        <v>32996</v>
      </c>
      <c r="AK131" s="161">
        <v>7228</v>
      </c>
      <c r="AL131" s="150"/>
      <c r="AM131" s="161">
        <v>-150</v>
      </c>
      <c r="AN131" s="161">
        <v>-11313</v>
      </c>
      <c r="AO131" s="160">
        <v>616</v>
      </c>
      <c r="AQ131" s="160"/>
      <c r="AR131" s="117"/>
      <c r="AS131" s="117"/>
      <c r="AT131" s="99">
        <v>21</v>
      </c>
      <c r="AU131" s="130"/>
      <c r="AV131" s="262">
        <v>96</v>
      </c>
      <c r="AW131" s="267">
        <v>10884</v>
      </c>
      <c r="AX131" s="124"/>
      <c r="AY131" s="255">
        <v>0.68352588010552173</v>
      </c>
      <c r="AZ131" s="259">
        <v>36.517470556943444</v>
      </c>
      <c r="BA131" s="160">
        <v>-2787.2105843439913</v>
      </c>
      <c r="BB131" s="130"/>
      <c r="BC131" s="130"/>
      <c r="BD131" s="130"/>
      <c r="BE131" s="128">
        <v>55.201389503140049</v>
      </c>
      <c r="BF131" s="160">
        <v>1243.568540977582</v>
      </c>
      <c r="BG131" s="129">
        <v>34.030837678392203</v>
      </c>
      <c r="BH131" s="131">
        <v>15013.230429988975</v>
      </c>
      <c r="BI131" s="124"/>
      <c r="BJ131" s="117">
        <v>72866</v>
      </c>
      <c r="BK131" s="117">
        <v>141689</v>
      </c>
      <c r="BL131" s="161">
        <v>-3</v>
      </c>
      <c r="BM131" s="161">
        <v>-68826</v>
      </c>
      <c r="BN131" s="117">
        <v>38405</v>
      </c>
      <c r="BO131" s="117">
        <v>37236</v>
      </c>
      <c r="BP131" s="136"/>
      <c r="BR131" s="160">
        <v>-308</v>
      </c>
      <c r="BS131" s="160">
        <v>569</v>
      </c>
      <c r="BT131" s="161">
        <v>7076</v>
      </c>
      <c r="BU131" s="125">
        <v>6845</v>
      </c>
      <c r="BV131" s="160">
        <v>0</v>
      </c>
      <c r="BX131" s="161">
        <v>231</v>
      </c>
      <c r="BY131" s="160">
        <v>-7</v>
      </c>
      <c r="BZ131" s="160">
        <v>-8</v>
      </c>
      <c r="CA131" s="161">
        <v>9</v>
      </c>
      <c r="CB131" s="161">
        <v>29</v>
      </c>
      <c r="CC131" s="160">
        <v>236</v>
      </c>
      <c r="CD131" s="160">
        <v>33019</v>
      </c>
      <c r="CE131" s="116">
        <v>6728</v>
      </c>
      <c r="CF131" s="150"/>
      <c r="CG131" s="161">
        <v>2099</v>
      </c>
      <c r="CH131" s="160">
        <v>-10555</v>
      </c>
      <c r="CI131" s="159">
        <v>-3832</v>
      </c>
      <c r="CK131" s="124"/>
      <c r="CL131" s="161"/>
      <c r="CM131" s="124"/>
      <c r="CN131" s="265">
        <v>21</v>
      </c>
      <c r="CO131" s="130"/>
      <c r="CP131" s="116">
        <v>72</v>
      </c>
      <c r="CQ131" s="267">
        <v>10719</v>
      </c>
      <c r="CR131" s="124"/>
      <c r="CS131" s="268">
        <v>1.9904044877472691</v>
      </c>
      <c r="CT131" s="269">
        <v>35.893697266612229</v>
      </c>
      <c r="CU131" s="160">
        <v>-2668.1593432223158</v>
      </c>
      <c r="CV131" s="130"/>
      <c r="CW131" s="130"/>
      <c r="CX131" s="130"/>
      <c r="CY131" s="269">
        <v>56.746935635003467</v>
      </c>
      <c r="CZ131" s="125">
        <v>1381.3788599682805</v>
      </c>
      <c r="DA131" s="125">
        <v>33.704109059387726</v>
      </c>
      <c r="DB131" s="273">
        <v>14959.697732997482</v>
      </c>
      <c r="DC131" s="124"/>
      <c r="DD131" s="117">
        <v>73599</v>
      </c>
      <c r="DE131" s="117">
        <v>141479</v>
      </c>
      <c r="DF131" s="117">
        <v>-41</v>
      </c>
      <c r="DG131" s="117">
        <v>-67921</v>
      </c>
      <c r="DH131" s="117">
        <v>39281</v>
      </c>
      <c r="DI131" s="117">
        <v>41434</v>
      </c>
      <c r="DJ131" s="136"/>
      <c r="DL131" s="160">
        <v>-293</v>
      </c>
      <c r="DM131" s="160">
        <v>530</v>
      </c>
      <c r="DN131" s="161">
        <v>13031</v>
      </c>
      <c r="DO131" s="116">
        <v>7346</v>
      </c>
      <c r="DP131" s="160">
        <v>0</v>
      </c>
      <c r="DR131" s="161">
        <v>5685</v>
      </c>
      <c r="DS131" s="116">
        <v>1</v>
      </c>
      <c r="DT131" s="116">
        <v>8</v>
      </c>
      <c r="DU131" s="117">
        <v>15</v>
      </c>
      <c r="DV131" s="117">
        <v>73</v>
      </c>
      <c r="DW131" s="160">
        <v>5752</v>
      </c>
      <c r="DX131" s="160">
        <v>38897</v>
      </c>
      <c r="DY131" s="116">
        <v>13037</v>
      </c>
      <c r="DZ131" s="150"/>
      <c r="EA131" s="117">
        <v>-1622</v>
      </c>
      <c r="EB131" s="116">
        <v>-6322</v>
      </c>
      <c r="EC131" s="159">
        <v>1445</v>
      </c>
      <c r="EE131" s="125"/>
      <c r="EF131" s="161"/>
      <c r="EG131" s="124"/>
      <c r="EH131" s="253">
        <v>21</v>
      </c>
      <c r="EI131" s="130"/>
      <c r="EJ131" s="125">
        <v>70</v>
      </c>
      <c r="EK131" s="116"/>
      <c r="EL131" s="159"/>
      <c r="EN131" s="116"/>
      <c r="EO131" s="116"/>
      <c r="EP131" s="159"/>
      <c r="EQ131" s="159">
        <v>-7749</v>
      </c>
      <c r="ER131" s="116">
        <v>1005</v>
      </c>
      <c r="ES131" s="116">
        <v>132</v>
      </c>
      <c r="ET131" s="160">
        <v>-10692</v>
      </c>
      <c r="EU131" s="116">
        <v>6</v>
      </c>
      <c r="EV131" s="116">
        <v>126</v>
      </c>
      <c r="EW131" s="160">
        <v>-12057</v>
      </c>
      <c r="EX131" s="160">
        <v>70</v>
      </c>
      <c r="EY131" s="160">
        <v>395</v>
      </c>
      <c r="EZ131" s="116">
        <v>3200</v>
      </c>
      <c r="FA131" s="116">
        <v>57</v>
      </c>
      <c r="FB131" s="116">
        <v>7284</v>
      </c>
      <c r="FC131" s="160">
        <v>3248</v>
      </c>
      <c r="FD131" s="116">
        <v>7684</v>
      </c>
      <c r="FE131" s="116">
        <v>-290</v>
      </c>
      <c r="FF131" s="3">
        <v>37404</v>
      </c>
      <c r="FG131" s="3">
        <v>30314</v>
      </c>
      <c r="FH131" s="3">
        <v>7090</v>
      </c>
      <c r="FI131" s="3">
        <v>70</v>
      </c>
      <c r="FJ131" s="125">
        <v>37381</v>
      </c>
      <c r="FK131" s="160">
        <v>30232</v>
      </c>
      <c r="FL131" s="125">
        <v>7149</v>
      </c>
      <c r="FM131" s="116">
        <v>70</v>
      </c>
      <c r="FN131" s="125">
        <v>38453</v>
      </c>
      <c r="FO131" s="116">
        <v>31444</v>
      </c>
      <c r="FP131" s="116">
        <v>7009</v>
      </c>
      <c r="FQ131" s="116">
        <v>-1622</v>
      </c>
      <c r="FR131" s="153">
        <v>5246</v>
      </c>
      <c r="FS131" s="153">
        <v>1449</v>
      </c>
      <c r="FT131" s="276">
        <v>1753</v>
      </c>
      <c r="FU131" s="3">
        <v>11512</v>
      </c>
      <c r="FV131" s="159">
        <v>16560</v>
      </c>
      <c r="FW131" s="170"/>
      <c r="FZ131" s="155"/>
      <c r="GA131" s="2"/>
      <c r="GD131" s="163"/>
      <c r="GE131" s="2"/>
      <c r="GF131" s="2"/>
    </row>
    <row r="132" spans="1:188" ht="14.5" x14ac:dyDescent="0.35">
      <c r="A132" s="72">
        <v>423</v>
      </c>
      <c r="B132" s="70" t="s">
        <v>129</v>
      </c>
      <c r="C132" s="158">
        <v>19831</v>
      </c>
      <c r="D132" s="171"/>
      <c r="E132" s="128">
        <v>1.1099308716911145</v>
      </c>
      <c r="F132" s="128">
        <v>77.294456981852662</v>
      </c>
      <c r="G132" s="129">
        <v>-4970.752861681206</v>
      </c>
      <c r="H132" s="216"/>
      <c r="I132" s="172"/>
      <c r="J132" s="218"/>
      <c r="K132" s="128">
        <v>23.94342568814443</v>
      </c>
      <c r="L132" s="129">
        <v>473.7027885633604</v>
      </c>
      <c r="M132" s="129">
        <v>21.041582287025786</v>
      </c>
      <c r="N132" s="129">
        <v>8217.1347889667686</v>
      </c>
      <c r="O132" s="129"/>
      <c r="P132" s="117">
        <v>53617</v>
      </c>
      <c r="Q132" s="161">
        <v>143266</v>
      </c>
      <c r="R132" s="161">
        <v>8</v>
      </c>
      <c r="S132" s="161">
        <v>-89641</v>
      </c>
      <c r="T132" s="124">
        <v>75125</v>
      </c>
      <c r="U132" s="124">
        <v>21032</v>
      </c>
      <c r="V132" s="136"/>
      <c r="X132" s="116">
        <v>-637</v>
      </c>
      <c r="Y132" s="116">
        <v>53</v>
      </c>
      <c r="Z132" s="161">
        <v>5932</v>
      </c>
      <c r="AA132" s="116">
        <v>10014</v>
      </c>
      <c r="AB132" s="116">
        <v>0</v>
      </c>
      <c r="AD132" s="161">
        <v>-4082</v>
      </c>
      <c r="AE132" s="116">
        <v>-5</v>
      </c>
      <c r="AF132" s="116">
        <v>0</v>
      </c>
      <c r="AG132" s="116">
        <v>0</v>
      </c>
      <c r="AH132" s="116">
        <v>-79</v>
      </c>
      <c r="AI132" s="160">
        <v>-4166</v>
      </c>
      <c r="AJ132" s="161">
        <v>5433</v>
      </c>
      <c r="AK132" s="161">
        <v>2479</v>
      </c>
      <c r="AL132" s="150"/>
      <c r="AM132" s="161">
        <v>546</v>
      </c>
      <c r="AN132" s="161">
        <v>-5280</v>
      </c>
      <c r="AO132" s="160">
        <v>-6341</v>
      </c>
      <c r="AQ132" s="160"/>
      <c r="AR132" s="117"/>
      <c r="AS132" s="117"/>
      <c r="AT132" s="99">
        <v>19.5</v>
      </c>
      <c r="AU132" s="130"/>
      <c r="AV132" s="262">
        <v>218</v>
      </c>
      <c r="AW132" s="267">
        <v>19994</v>
      </c>
      <c r="AX132" s="124"/>
      <c r="AY132" s="255">
        <v>2.0841008240426562</v>
      </c>
      <c r="AZ132" s="259">
        <v>79.711002197059315</v>
      </c>
      <c r="BA132" s="160">
        <v>-5130.5391617485247</v>
      </c>
      <c r="BB132" s="130"/>
      <c r="BC132" s="130"/>
      <c r="BD132" s="130"/>
      <c r="BE132" s="128">
        <v>21.821954216082041</v>
      </c>
      <c r="BF132" s="160">
        <v>548.71461438431538</v>
      </c>
      <c r="BG132" s="129">
        <v>21.130667356887106</v>
      </c>
      <c r="BH132" s="131">
        <v>8115.7847354206251</v>
      </c>
      <c r="BI132" s="124"/>
      <c r="BJ132" s="117">
        <v>52462</v>
      </c>
      <c r="BK132" s="117">
        <v>145349</v>
      </c>
      <c r="BL132" s="161">
        <v>23</v>
      </c>
      <c r="BM132" s="161">
        <v>-92864</v>
      </c>
      <c r="BN132" s="117">
        <v>79437</v>
      </c>
      <c r="BO132" s="117">
        <v>21943</v>
      </c>
      <c r="BP132" s="136"/>
      <c r="BR132" s="160">
        <v>-693</v>
      </c>
      <c r="BS132" s="160">
        <v>70</v>
      </c>
      <c r="BT132" s="161">
        <v>7893</v>
      </c>
      <c r="BU132" s="125">
        <v>10154</v>
      </c>
      <c r="BV132" s="160">
        <v>0</v>
      </c>
      <c r="BX132" s="161">
        <v>-2261</v>
      </c>
      <c r="BY132" s="160">
        <v>0</v>
      </c>
      <c r="BZ132" s="160">
        <v>0</v>
      </c>
      <c r="CA132" s="160">
        <v>0</v>
      </c>
      <c r="CB132" s="160">
        <v>-51</v>
      </c>
      <c r="CC132" s="160">
        <v>-2312</v>
      </c>
      <c r="CD132" s="160">
        <v>3113</v>
      </c>
      <c r="CE132" s="116">
        <v>5665</v>
      </c>
      <c r="CF132" s="150"/>
      <c r="CG132" s="161">
        <v>-1281</v>
      </c>
      <c r="CH132" s="160">
        <v>-3420</v>
      </c>
      <c r="CI132" s="159">
        <v>-4134</v>
      </c>
      <c r="CK132" s="124"/>
      <c r="CL132" s="161"/>
      <c r="CM132" s="124"/>
      <c r="CN132" s="265">
        <v>19.5</v>
      </c>
      <c r="CO132" s="130"/>
      <c r="CP132" s="116">
        <v>166</v>
      </c>
      <c r="CQ132" s="267">
        <v>20146</v>
      </c>
      <c r="CR132" s="124"/>
      <c r="CS132" s="268">
        <v>3.8678500986193294</v>
      </c>
      <c r="CT132" s="269">
        <v>74.637787209132156</v>
      </c>
      <c r="CU132" s="160">
        <v>-5002.4322446143151</v>
      </c>
      <c r="CV132" s="130"/>
      <c r="CW132" s="130"/>
      <c r="CX132" s="130"/>
      <c r="CY132" s="269">
        <v>25.287515006002401</v>
      </c>
      <c r="CZ132" s="125">
        <v>603.94122902809488</v>
      </c>
      <c r="DA132" s="125">
        <v>26.557082458752681</v>
      </c>
      <c r="DB132" s="273">
        <v>8300.5559416261294</v>
      </c>
      <c r="DC132" s="124"/>
      <c r="DD132" s="117">
        <v>51388</v>
      </c>
      <c r="DE132" s="117">
        <v>146427</v>
      </c>
      <c r="DF132" s="117">
        <v>29</v>
      </c>
      <c r="DG132" s="117">
        <v>-95010</v>
      </c>
      <c r="DH132" s="117">
        <v>82718</v>
      </c>
      <c r="DI132" s="117">
        <v>29886</v>
      </c>
      <c r="DJ132" s="136"/>
      <c r="DL132" s="160">
        <v>-559</v>
      </c>
      <c r="DM132" s="160">
        <v>46</v>
      </c>
      <c r="DN132" s="161">
        <v>17081</v>
      </c>
      <c r="DO132" s="116">
        <v>9821</v>
      </c>
      <c r="DP132" s="160">
        <v>0</v>
      </c>
      <c r="DR132" s="161">
        <v>7260</v>
      </c>
      <c r="DS132" s="116">
        <v>-7</v>
      </c>
      <c r="DT132" s="116">
        <v>0</v>
      </c>
      <c r="DU132" s="116">
        <v>0</v>
      </c>
      <c r="DV132" s="116">
        <v>-31</v>
      </c>
      <c r="DW132" s="160">
        <v>7222</v>
      </c>
      <c r="DX132" s="160">
        <v>10422</v>
      </c>
      <c r="DY132" s="116">
        <v>15158</v>
      </c>
      <c r="DZ132" s="150"/>
      <c r="EA132" s="117">
        <v>-281</v>
      </c>
      <c r="EB132" s="116">
        <v>-3995</v>
      </c>
      <c r="EC132" s="159">
        <v>1886</v>
      </c>
      <c r="EE132" s="125"/>
      <c r="EF132" s="161"/>
      <c r="EG132" s="124"/>
      <c r="EH132" s="253">
        <v>19.5</v>
      </c>
      <c r="EI132" s="130"/>
      <c r="EJ132" s="125">
        <v>209</v>
      </c>
      <c r="EK132" s="116"/>
      <c r="EL132" s="159"/>
      <c r="EN132" s="116"/>
      <c r="EO132" s="116"/>
      <c r="EP132" s="159"/>
      <c r="EQ132" s="159">
        <v>-13746</v>
      </c>
      <c r="ER132" s="116">
        <v>162</v>
      </c>
      <c r="ES132" s="116">
        <v>4764</v>
      </c>
      <c r="ET132" s="160">
        <v>-12784</v>
      </c>
      <c r="EU132" s="116">
        <v>34</v>
      </c>
      <c r="EV132" s="116">
        <v>2951</v>
      </c>
      <c r="EW132" s="160">
        <v>-16208</v>
      </c>
      <c r="EX132" s="160">
        <v>588</v>
      </c>
      <c r="EY132" s="160">
        <v>2348</v>
      </c>
      <c r="EZ132" s="116">
        <v>732</v>
      </c>
      <c r="FA132" s="116">
        <v>12335</v>
      </c>
      <c r="FB132" s="116">
        <v>12691</v>
      </c>
      <c r="FC132" s="160">
        <v>-5079</v>
      </c>
      <c r="FD132" s="116">
        <v>3617</v>
      </c>
      <c r="FE132" s="116">
        <v>562</v>
      </c>
      <c r="FF132" s="3">
        <v>88511</v>
      </c>
      <c r="FG132" s="3">
        <v>45534</v>
      </c>
      <c r="FH132" s="3">
        <v>42977</v>
      </c>
      <c r="FI132" s="3">
        <v>0</v>
      </c>
      <c r="FJ132" s="125">
        <v>92790</v>
      </c>
      <c r="FK132" s="160">
        <v>54814</v>
      </c>
      <c r="FL132" s="125">
        <v>37976</v>
      </c>
      <c r="FM132" s="116">
        <v>0</v>
      </c>
      <c r="FN132" s="125">
        <v>92924</v>
      </c>
      <c r="FO132" s="116">
        <v>54464</v>
      </c>
      <c r="FP132" s="116">
        <v>38460</v>
      </c>
      <c r="FQ132" s="116">
        <v>-281</v>
      </c>
      <c r="FR132" s="153">
        <v>6801</v>
      </c>
      <c r="FS132" s="153">
        <v>6732</v>
      </c>
      <c r="FT132" s="276">
        <v>7027</v>
      </c>
      <c r="FU132" s="3">
        <v>13854</v>
      </c>
      <c r="FV132" s="159">
        <v>13941</v>
      </c>
      <c r="FW132" s="170"/>
      <c r="FZ132" s="155"/>
      <c r="GA132" s="2"/>
      <c r="GD132" s="163"/>
      <c r="GE132" s="2"/>
      <c r="GF132" s="2"/>
    </row>
    <row r="133" spans="1:188" ht="14.5" x14ac:dyDescent="0.35">
      <c r="A133" s="72">
        <v>425</v>
      </c>
      <c r="B133" s="70" t="s">
        <v>130</v>
      </c>
      <c r="C133" s="158">
        <v>10161</v>
      </c>
      <c r="D133" s="171"/>
      <c r="E133" s="128">
        <v>4.2212065813528339</v>
      </c>
      <c r="F133" s="128">
        <v>76.176276914284301</v>
      </c>
      <c r="G133" s="129">
        <v>-4758.1930912311773</v>
      </c>
      <c r="H133" s="216"/>
      <c r="I133" s="172"/>
      <c r="J133" s="218"/>
      <c r="K133" s="128">
        <v>45.147427066275029</v>
      </c>
      <c r="L133" s="129">
        <v>707.21385690384807</v>
      </c>
      <c r="M133" s="129">
        <v>23.45740732459867</v>
      </c>
      <c r="N133" s="129">
        <v>11004.330282452514</v>
      </c>
      <c r="O133" s="129"/>
      <c r="P133" s="117">
        <v>21539</v>
      </c>
      <c r="Q133" s="161">
        <v>73612</v>
      </c>
      <c r="R133" s="161">
        <v>1</v>
      </c>
      <c r="S133" s="161">
        <v>-52072</v>
      </c>
      <c r="T133" s="124">
        <v>32097</v>
      </c>
      <c r="U133" s="124">
        <v>26851</v>
      </c>
      <c r="V133" s="136"/>
      <c r="X133" s="116">
        <v>-241</v>
      </c>
      <c r="Y133" s="116">
        <v>24</v>
      </c>
      <c r="Z133" s="161">
        <v>6659</v>
      </c>
      <c r="AA133" s="116">
        <v>5422</v>
      </c>
      <c r="AB133" s="116">
        <v>265</v>
      </c>
      <c r="AD133" s="161">
        <v>1502</v>
      </c>
      <c r="AE133" s="116">
        <v>78</v>
      </c>
      <c r="AF133" s="116">
        <v>-45</v>
      </c>
      <c r="AG133" s="116">
        <v>-5</v>
      </c>
      <c r="AH133" s="116">
        <v>-21</v>
      </c>
      <c r="AI133" s="160">
        <v>1509</v>
      </c>
      <c r="AJ133" s="161">
        <v>30591</v>
      </c>
      <c r="AK133" s="161">
        <v>5606</v>
      </c>
      <c r="AL133" s="150"/>
      <c r="AM133" s="161">
        <v>-96</v>
      </c>
      <c r="AN133" s="161">
        <v>-1373</v>
      </c>
      <c r="AO133" s="160">
        <v>-18710</v>
      </c>
      <c r="AQ133" s="160"/>
      <c r="AR133" s="117"/>
      <c r="AS133" s="117"/>
      <c r="AT133" s="99">
        <v>21.5</v>
      </c>
      <c r="AU133" s="130"/>
      <c r="AV133" s="262">
        <v>90</v>
      </c>
      <c r="AW133" s="267">
        <v>10191</v>
      </c>
      <c r="AX133" s="124"/>
      <c r="AY133" s="255">
        <v>-2.183467741935484</v>
      </c>
      <c r="AZ133" s="259">
        <v>80.936370815286324</v>
      </c>
      <c r="BA133" s="160">
        <v>-5152.1931115690322</v>
      </c>
      <c r="BB133" s="130"/>
      <c r="BC133" s="130"/>
      <c r="BD133" s="130"/>
      <c r="BE133" s="128">
        <v>43.436980969930339</v>
      </c>
      <c r="BF133" s="160">
        <v>964.8709645765872</v>
      </c>
      <c r="BG133" s="129">
        <v>30.580149467768823</v>
      </c>
      <c r="BH133" s="131">
        <v>8416.3477578255315</v>
      </c>
      <c r="BI133" s="124"/>
      <c r="BJ133" s="117">
        <v>25237</v>
      </c>
      <c r="BK133" s="117">
        <v>77325</v>
      </c>
      <c r="BL133" s="161">
        <v>2</v>
      </c>
      <c r="BM133" s="161">
        <v>-52086</v>
      </c>
      <c r="BN133" s="117">
        <v>33743</v>
      </c>
      <c r="BO133" s="117">
        <v>24598</v>
      </c>
      <c r="BP133" s="136"/>
      <c r="BR133" s="160">
        <v>-245</v>
      </c>
      <c r="BS133" s="160">
        <v>215</v>
      </c>
      <c r="BT133" s="161">
        <v>6225</v>
      </c>
      <c r="BU133" s="125">
        <v>6912</v>
      </c>
      <c r="BV133" s="160">
        <v>383</v>
      </c>
      <c r="BX133" s="161">
        <v>-304</v>
      </c>
      <c r="BY133" s="160">
        <v>13</v>
      </c>
      <c r="BZ133" s="160">
        <v>-2</v>
      </c>
      <c r="CA133" s="160">
        <v>8</v>
      </c>
      <c r="CB133" s="160">
        <v>0</v>
      </c>
      <c r="CC133" s="160">
        <v>-301</v>
      </c>
      <c r="CD133" s="160">
        <v>30291</v>
      </c>
      <c r="CE133" s="116">
        <v>5315</v>
      </c>
      <c r="CF133" s="150"/>
      <c r="CG133" s="161">
        <v>472</v>
      </c>
      <c r="CH133" s="160">
        <v>-3249</v>
      </c>
      <c r="CI133" s="159">
        <v>-4123</v>
      </c>
      <c r="CK133" s="124"/>
      <c r="CL133" s="161"/>
      <c r="CM133" s="124"/>
      <c r="CN133" s="265">
        <v>21.5</v>
      </c>
      <c r="CO133" s="130"/>
      <c r="CP133" s="116">
        <v>85</v>
      </c>
      <c r="CQ133" s="267">
        <v>10238</v>
      </c>
      <c r="CR133" s="124"/>
      <c r="CS133" s="268">
        <v>16.562711864406779</v>
      </c>
      <c r="CT133" s="269">
        <v>74.207133551951841</v>
      </c>
      <c r="CU133" s="160">
        <v>-5218.1090056651692</v>
      </c>
      <c r="CV133" s="130"/>
      <c r="CW133" s="130"/>
      <c r="CX133" s="130"/>
      <c r="CY133" s="269">
        <v>45.333747638867308</v>
      </c>
      <c r="CZ133" s="125">
        <v>677.37839421762055</v>
      </c>
      <c r="DA133" s="125">
        <v>27.703567910692787</v>
      </c>
      <c r="DB133" s="273">
        <v>8924.5946473920703</v>
      </c>
      <c r="DC133" s="124"/>
      <c r="DD133" s="117">
        <v>21911</v>
      </c>
      <c r="DE133" s="117">
        <v>79332</v>
      </c>
      <c r="DF133" s="117">
        <v>4</v>
      </c>
      <c r="DG133" s="117">
        <v>-57417</v>
      </c>
      <c r="DH133" s="117">
        <v>35264</v>
      </c>
      <c r="DI133" s="117">
        <v>31869</v>
      </c>
      <c r="DJ133" s="136"/>
      <c r="DL133" s="160">
        <v>-238</v>
      </c>
      <c r="DM133" s="160">
        <v>28</v>
      </c>
      <c r="DN133" s="161">
        <v>9506</v>
      </c>
      <c r="DO133" s="116">
        <v>6596</v>
      </c>
      <c r="DP133" s="160">
        <v>0</v>
      </c>
      <c r="DR133" s="161">
        <v>2910</v>
      </c>
      <c r="DS133" s="116">
        <v>4</v>
      </c>
      <c r="DT133" s="116">
        <v>47</v>
      </c>
      <c r="DU133" s="116">
        <v>-1</v>
      </c>
      <c r="DV133" s="116">
        <v>-27</v>
      </c>
      <c r="DW133" s="160">
        <v>2935</v>
      </c>
      <c r="DX133" s="160">
        <v>33221</v>
      </c>
      <c r="DY133" s="116">
        <v>9215</v>
      </c>
      <c r="DZ133" s="150"/>
      <c r="EA133" s="117">
        <v>-413</v>
      </c>
      <c r="EB133" s="116">
        <v>-324</v>
      </c>
      <c r="EC133" s="159">
        <v>-470</v>
      </c>
      <c r="EE133" s="125"/>
      <c r="EF133" s="161"/>
      <c r="EG133" s="124"/>
      <c r="EH133" s="253">
        <v>21.5</v>
      </c>
      <c r="EI133" s="130"/>
      <c r="EJ133" s="125">
        <v>171</v>
      </c>
      <c r="EK133" s="116"/>
      <c r="EL133" s="159"/>
      <c r="EN133" s="116"/>
      <c r="EO133" s="116"/>
      <c r="EP133" s="159"/>
      <c r="EQ133" s="159">
        <v>-36559</v>
      </c>
      <c r="ER133" s="116">
        <v>191</v>
      </c>
      <c r="ES133" s="116">
        <v>12052</v>
      </c>
      <c r="ET133" s="160">
        <v>-11372</v>
      </c>
      <c r="EU133" s="116">
        <v>475</v>
      </c>
      <c r="EV133" s="116">
        <v>1459</v>
      </c>
      <c r="EW133" s="160">
        <v>-11115</v>
      </c>
      <c r="EX133" s="160">
        <v>107</v>
      </c>
      <c r="EY133" s="160">
        <v>1323</v>
      </c>
      <c r="EZ133" s="116">
        <v>10407</v>
      </c>
      <c r="FA133" s="116">
        <v>2374</v>
      </c>
      <c r="FB133" s="116">
        <v>7199</v>
      </c>
      <c r="FC133" s="160">
        <v>-4702</v>
      </c>
      <c r="FD133" s="116">
        <v>2214</v>
      </c>
      <c r="FE133" s="116">
        <v>-4892</v>
      </c>
      <c r="FF133" s="3">
        <v>45432</v>
      </c>
      <c r="FG133" s="3">
        <v>33401</v>
      </c>
      <c r="FH133" s="3">
        <v>12031</v>
      </c>
      <c r="FI133" s="3">
        <v>606</v>
      </c>
      <c r="FJ133" s="125">
        <v>51178</v>
      </c>
      <c r="FK133" s="160">
        <v>35096</v>
      </c>
      <c r="FL133" s="125">
        <v>16082</v>
      </c>
      <c r="FM133" s="116">
        <v>648</v>
      </c>
      <c r="FN133" s="125">
        <v>48175</v>
      </c>
      <c r="FO133" s="116">
        <v>33407</v>
      </c>
      <c r="FP133" s="116">
        <v>14768</v>
      </c>
      <c r="FQ133" s="116">
        <v>-413</v>
      </c>
      <c r="FR133" s="153">
        <v>713</v>
      </c>
      <c r="FS133" s="153">
        <v>621</v>
      </c>
      <c r="FT133" s="276">
        <v>997</v>
      </c>
      <c r="FU133" s="3">
        <v>8444</v>
      </c>
      <c r="FV133" s="159">
        <v>9037</v>
      </c>
      <c r="FW133" s="170"/>
      <c r="FZ133" s="155"/>
      <c r="GA133" s="2"/>
      <c r="GD133" s="163"/>
      <c r="GE133" s="2"/>
      <c r="GF133" s="2"/>
    </row>
    <row r="134" spans="1:188" ht="14.5" x14ac:dyDescent="0.35">
      <c r="A134" s="72">
        <v>426</v>
      </c>
      <c r="B134" s="70" t="s">
        <v>131</v>
      </c>
      <c r="C134" s="158">
        <v>12145</v>
      </c>
      <c r="D134" s="171"/>
      <c r="E134" s="128">
        <v>0.4881516587677725</v>
      </c>
      <c r="F134" s="128">
        <v>51.053592039180209</v>
      </c>
      <c r="G134" s="129">
        <v>-4173.9810621654997</v>
      </c>
      <c r="H134" s="216"/>
      <c r="I134" s="172"/>
      <c r="J134" s="218"/>
      <c r="K134" s="128">
        <v>29.003401789089075</v>
      </c>
      <c r="L134" s="129">
        <v>931.1650885137916</v>
      </c>
      <c r="M134" s="129">
        <v>29.370054929417122</v>
      </c>
      <c r="N134" s="129">
        <v>11572.16961712639</v>
      </c>
      <c r="O134" s="129"/>
      <c r="P134" s="117">
        <v>59894</v>
      </c>
      <c r="Q134" s="161">
        <v>122909</v>
      </c>
      <c r="R134" s="161">
        <v>-20</v>
      </c>
      <c r="S134" s="161">
        <v>-63035</v>
      </c>
      <c r="T134" s="124">
        <v>39488</v>
      </c>
      <c r="U134" s="124">
        <v>28846</v>
      </c>
      <c r="V134" s="136"/>
      <c r="X134" s="116">
        <v>-432</v>
      </c>
      <c r="Y134" s="116">
        <v>344</v>
      </c>
      <c r="Z134" s="161">
        <v>5211</v>
      </c>
      <c r="AA134" s="116">
        <v>4528</v>
      </c>
      <c r="AB134" s="116">
        <v>0</v>
      </c>
      <c r="AD134" s="161">
        <v>683</v>
      </c>
      <c r="AE134" s="116">
        <v>-77</v>
      </c>
      <c r="AF134" s="116">
        <v>1</v>
      </c>
      <c r="AG134" s="116">
        <v>-23</v>
      </c>
      <c r="AH134" s="116">
        <v>-72</v>
      </c>
      <c r="AI134" s="160">
        <v>512</v>
      </c>
      <c r="AJ134" s="161">
        <v>11789</v>
      </c>
      <c r="AK134" s="161">
        <v>4962</v>
      </c>
      <c r="AL134" s="150"/>
      <c r="AM134" s="161">
        <v>203</v>
      </c>
      <c r="AN134" s="161">
        <v>-11151</v>
      </c>
      <c r="AO134" s="160">
        <v>-809</v>
      </c>
      <c r="AQ134" s="160"/>
      <c r="AR134" s="117"/>
      <c r="AS134" s="117"/>
      <c r="AT134" s="99">
        <v>21.5</v>
      </c>
      <c r="AU134" s="130"/>
      <c r="AV134" s="262">
        <v>170</v>
      </c>
      <c r="AW134" s="267">
        <v>12084</v>
      </c>
      <c r="AX134" s="124"/>
      <c r="AY134" s="255">
        <v>0.42121331494977349</v>
      </c>
      <c r="AZ134" s="259">
        <v>51.764451347195497</v>
      </c>
      <c r="BA134" s="160">
        <v>-4387.7027474346241</v>
      </c>
      <c r="BB134" s="130"/>
      <c r="BC134" s="130"/>
      <c r="BD134" s="130"/>
      <c r="BE134" s="128">
        <v>28.807863827649015</v>
      </c>
      <c r="BF134" s="160">
        <v>723.6014564713671</v>
      </c>
      <c r="BG134" s="129">
        <v>29.147936306182256</v>
      </c>
      <c r="BH134" s="131">
        <v>11719.215491559087</v>
      </c>
      <c r="BI134" s="124"/>
      <c r="BJ134" s="117">
        <v>60169</v>
      </c>
      <c r="BK134" s="117">
        <v>125509</v>
      </c>
      <c r="BL134" s="161">
        <v>-37</v>
      </c>
      <c r="BM134" s="161">
        <v>-65377</v>
      </c>
      <c r="BN134" s="117">
        <v>40749</v>
      </c>
      <c r="BO134" s="117">
        <v>28499</v>
      </c>
      <c r="BP134" s="136"/>
      <c r="BR134" s="160">
        <v>-363</v>
      </c>
      <c r="BS134" s="160">
        <v>374</v>
      </c>
      <c r="BT134" s="161">
        <v>3882</v>
      </c>
      <c r="BU134" s="125">
        <v>4710</v>
      </c>
      <c r="BV134" s="160">
        <v>0</v>
      </c>
      <c r="BX134" s="161">
        <v>-828</v>
      </c>
      <c r="BY134" s="160">
        <v>4</v>
      </c>
      <c r="BZ134" s="160">
        <v>-4</v>
      </c>
      <c r="CA134" s="160">
        <v>12</v>
      </c>
      <c r="CB134" s="160">
        <v>-67</v>
      </c>
      <c r="CC134" s="160">
        <v>-907</v>
      </c>
      <c r="CD134" s="160">
        <v>10762</v>
      </c>
      <c r="CE134" s="116">
        <v>3465</v>
      </c>
      <c r="CF134" s="150"/>
      <c r="CG134" s="160">
        <v>-1764</v>
      </c>
      <c r="CH134" s="160">
        <v>-9759</v>
      </c>
      <c r="CI134" s="159">
        <v>-2087</v>
      </c>
      <c r="CK134" s="124"/>
      <c r="CL134" s="161"/>
      <c r="CM134" s="124"/>
      <c r="CN134" s="265">
        <v>21.5</v>
      </c>
      <c r="CO134" s="130"/>
      <c r="CP134" s="116">
        <v>200</v>
      </c>
      <c r="CQ134" s="267">
        <v>11994</v>
      </c>
      <c r="CR134" s="124"/>
      <c r="CS134" s="268">
        <v>0.81813264091745108</v>
      </c>
      <c r="CT134" s="269">
        <v>56.01641311271424</v>
      </c>
      <c r="CU134" s="160">
        <v>-4733.366683341671</v>
      </c>
      <c r="CV134" s="130"/>
      <c r="CW134" s="130"/>
      <c r="CX134" s="130"/>
      <c r="CY134" s="269">
        <v>27.453904684101033</v>
      </c>
      <c r="CZ134" s="125">
        <v>1074.5372686343171</v>
      </c>
      <c r="DA134" s="125">
        <v>31.67117753989093</v>
      </c>
      <c r="DB134" s="273">
        <v>12383.69184592296</v>
      </c>
      <c r="DC134" s="124"/>
      <c r="DD134" s="117">
        <v>60670</v>
      </c>
      <c r="DE134" s="117">
        <v>127840</v>
      </c>
      <c r="DF134" s="117">
        <v>-34</v>
      </c>
      <c r="DG134" s="117">
        <v>-67204</v>
      </c>
      <c r="DH134" s="117">
        <v>41381</v>
      </c>
      <c r="DI134" s="117">
        <v>32963</v>
      </c>
      <c r="DJ134" s="136"/>
      <c r="DL134" s="160">
        <v>-355</v>
      </c>
      <c r="DM134" s="160">
        <v>359</v>
      </c>
      <c r="DN134" s="161">
        <v>7144</v>
      </c>
      <c r="DO134" s="116">
        <v>5854</v>
      </c>
      <c r="DP134" s="160">
        <v>0</v>
      </c>
      <c r="DR134" s="161">
        <v>1290</v>
      </c>
      <c r="DS134" s="116">
        <v>11</v>
      </c>
      <c r="DT134" s="116">
        <v>4</v>
      </c>
      <c r="DU134" s="116">
        <v>16</v>
      </c>
      <c r="DV134" s="116">
        <v>-69</v>
      </c>
      <c r="DW134" s="160">
        <v>1220</v>
      </c>
      <c r="DX134" s="160">
        <v>12185</v>
      </c>
      <c r="DY134" s="116">
        <v>6933</v>
      </c>
      <c r="DZ134" s="150"/>
      <c r="EA134" s="116">
        <v>-739</v>
      </c>
      <c r="EB134" s="116">
        <v>-8825</v>
      </c>
      <c r="EC134" s="159">
        <v>-3493</v>
      </c>
      <c r="EE134" s="125"/>
      <c r="EF134" s="161"/>
      <c r="EG134" s="124"/>
      <c r="EH134" s="253">
        <v>21.5</v>
      </c>
      <c r="EI134" s="130"/>
      <c r="EJ134" s="125">
        <v>274</v>
      </c>
      <c r="EK134" s="116"/>
      <c r="EL134" s="159"/>
      <c r="EN134" s="116"/>
      <c r="EO134" s="116"/>
      <c r="EP134" s="159"/>
      <c r="EQ134" s="159">
        <v>-6021</v>
      </c>
      <c r="ER134" s="116">
        <v>26</v>
      </c>
      <c r="ES134" s="116">
        <v>224</v>
      </c>
      <c r="ET134" s="160">
        <v>-5908</v>
      </c>
      <c r="EU134" s="116">
        <v>88</v>
      </c>
      <c r="EV134" s="116">
        <v>268</v>
      </c>
      <c r="EW134" s="160">
        <v>-11239</v>
      </c>
      <c r="EX134" s="160">
        <v>549</v>
      </c>
      <c r="EY134" s="160">
        <v>264</v>
      </c>
      <c r="EZ134" s="116">
        <v>10000</v>
      </c>
      <c r="FA134" s="116">
        <v>494</v>
      </c>
      <c r="FB134" s="116">
        <v>10905</v>
      </c>
      <c r="FC134" s="160">
        <v>85</v>
      </c>
      <c r="FD134" s="116">
        <v>17945</v>
      </c>
      <c r="FE134" s="116">
        <v>-772</v>
      </c>
      <c r="FF134" s="3">
        <v>49203</v>
      </c>
      <c r="FG134" s="3">
        <v>38865</v>
      </c>
      <c r="FH134" s="3">
        <v>10338</v>
      </c>
      <c r="FI134" s="3">
        <v>0</v>
      </c>
      <c r="FJ134" s="125">
        <v>50434</v>
      </c>
      <c r="FK134" s="160">
        <v>40255</v>
      </c>
      <c r="FL134" s="125">
        <v>10179</v>
      </c>
      <c r="FM134" s="116">
        <v>0</v>
      </c>
      <c r="FN134" s="125">
        <v>58782</v>
      </c>
      <c r="FO134" s="116">
        <v>48428</v>
      </c>
      <c r="FP134" s="116">
        <v>10354</v>
      </c>
      <c r="FQ134" s="116">
        <v>-739</v>
      </c>
      <c r="FR134" s="153">
        <v>34</v>
      </c>
      <c r="FS134" s="153">
        <v>25</v>
      </c>
      <c r="FT134" s="276">
        <v>269</v>
      </c>
      <c r="FU134" s="3">
        <v>4373</v>
      </c>
      <c r="FV134" s="159">
        <v>5331</v>
      </c>
      <c r="FW134" s="170"/>
      <c r="FZ134" s="155"/>
      <c r="GA134" s="2"/>
      <c r="GD134" s="163"/>
      <c r="GE134" s="2"/>
      <c r="GF134" s="2"/>
    </row>
    <row r="135" spans="1:188" ht="14.5" x14ac:dyDescent="0.35">
      <c r="A135" s="72">
        <v>444</v>
      </c>
      <c r="B135" s="70" t="s">
        <v>139</v>
      </c>
      <c r="C135" s="158">
        <v>46296</v>
      </c>
      <c r="D135" s="171"/>
      <c r="E135" s="128">
        <v>0.89088714544357273</v>
      </c>
      <c r="F135" s="128">
        <v>67.507890058296852</v>
      </c>
      <c r="G135" s="129">
        <v>-5530.9745982374288</v>
      </c>
      <c r="H135" s="216"/>
      <c r="I135" s="172"/>
      <c r="J135" s="218"/>
      <c r="K135" s="128">
        <v>31.223328101408942</v>
      </c>
      <c r="L135" s="129">
        <v>413.42664593053394</v>
      </c>
      <c r="M135" s="129">
        <v>14.615394271081767</v>
      </c>
      <c r="N135" s="129">
        <v>10324.779678589943</v>
      </c>
      <c r="O135" s="129"/>
      <c r="P135" s="117">
        <v>167376</v>
      </c>
      <c r="Q135" s="161">
        <v>420848</v>
      </c>
      <c r="R135" s="161">
        <v>15</v>
      </c>
      <c r="S135" s="161">
        <v>-253457</v>
      </c>
      <c r="T135" s="124">
        <v>188458</v>
      </c>
      <c r="U135" s="124">
        <v>79524</v>
      </c>
      <c r="V135" s="136"/>
      <c r="X135" s="116">
        <v>-1854</v>
      </c>
      <c r="Y135" s="116">
        <v>104</v>
      </c>
      <c r="Z135" s="161">
        <v>12775</v>
      </c>
      <c r="AA135" s="116">
        <v>25222</v>
      </c>
      <c r="AB135" s="116">
        <v>0</v>
      </c>
      <c r="AD135" s="161">
        <v>-12447</v>
      </c>
      <c r="AE135" s="117">
        <v>24</v>
      </c>
      <c r="AF135" s="117">
        <v>-20</v>
      </c>
      <c r="AG135" s="116">
        <v>-223</v>
      </c>
      <c r="AH135" s="116">
        <v>-2</v>
      </c>
      <c r="AI135" s="160">
        <v>-12668</v>
      </c>
      <c r="AJ135" s="161">
        <v>6080</v>
      </c>
      <c r="AK135" s="161">
        <v>10635</v>
      </c>
      <c r="AL135" s="150"/>
      <c r="AM135" s="161">
        <v>798</v>
      </c>
      <c r="AN135" s="161">
        <v>-14583</v>
      </c>
      <c r="AO135" s="160">
        <v>-23238</v>
      </c>
      <c r="AQ135" s="160"/>
      <c r="AR135" s="117"/>
      <c r="AS135" s="117"/>
      <c r="AT135" s="99">
        <v>20.5</v>
      </c>
      <c r="AU135" s="130"/>
      <c r="AV135" s="262">
        <v>231</v>
      </c>
      <c r="AW135" s="267">
        <v>45965</v>
      </c>
      <c r="AX135" s="124"/>
      <c r="AY135" s="255">
        <v>0.90044815952464874</v>
      </c>
      <c r="AZ135" s="259">
        <v>70.190959448791602</v>
      </c>
      <c r="BA135" s="160">
        <v>-6001.0877841836173</v>
      </c>
      <c r="BB135" s="130"/>
      <c r="BC135" s="130"/>
      <c r="BD135" s="130"/>
      <c r="BE135" s="128">
        <v>28.401358640284982</v>
      </c>
      <c r="BF135" s="160">
        <v>402.3278581529425</v>
      </c>
      <c r="BG135" s="129">
        <v>13.990275435863136</v>
      </c>
      <c r="BH135" s="131">
        <v>10863.787664527357</v>
      </c>
      <c r="BI135" s="124"/>
      <c r="BJ135" s="117">
        <v>177542</v>
      </c>
      <c r="BK135" s="117">
        <v>429891</v>
      </c>
      <c r="BL135" s="161">
        <v>35</v>
      </c>
      <c r="BM135" s="161">
        <v>-252314</v>
      </c>
      <c r="BN135" s="117">
        <v>190088</v>
      </c>
      <c r="BO135" s="117">
        <v>79533</v>
      </c>
      <c r="BP135" s="136"/>
      <c r="BR135" s="160">
        <v>-2339</v>
      </c>
      <c r="BS135" s="160">
        <v>456</v>
      </c>
      <c r="BT135" s="161">
        <v>15424</v>
      </c>
      <c r="BU135" s="125">
        <v>24283</v>
      </c>
      <c r="BV135" s="160">
        <v>0</v>
      </c>
      <c r="BX135" s="161">
        <v>-8859</v>
      </c>
      <c r="BY135" s="161">
        <v>-22</v>
      </c>
      <c r="BZ135" s="161">
        <v>-40</v>
      </c>
      <c r="CA135" s="160">
        <v>429</v>
      </c>
      <c r="CB135" s="160">
        <v>-5</v>
      </c>
      <c r="CC135" s="160">
        <v>-9355</v>
      </c>
      <c r="CD135" s="160">
        <v>-3088</v>
      </c>
      <c r="CE135" s="116">
        <v>14016</v>
      </c>
      <c r="CF135" s="150"/>
      <c r="CG135" s="160">
        <v>-837</v>
      </c>
      <c r="CH135" s="160">
        <v>-17401</v>
      </c>
      <c r="CI135" s="159">
        <v>-20187</v>
      </c>
      <c r="CK135" s="124"/>
      <c r="CL135" s="161"/>
      <c r="CM135" s="124"/>
      <c r="CN135" s="265">
        <v>20.5</v>
      </c>
      <c r="CO135" s="130"/>
      <c r="CP135" s="116">
        <v>195</v>
      </c>
      <c r="CQ135" s="267">
        <v>45886</v>
      </c>
      <c r="CR135" s="124"/>
      <c r="CS135" s="268">
        <v>2.8231003039513678</v>
      </c>
      <c r="CT135" s="269">
        <v>72.824831800357643</v>
      </c>
      <c r="CU135" s="160">
        <v>-6850.7169942901974</v>
      </c>
      <c r="CV135" s="130"/>
      <c r="CW135" s="130"/>
      <c r="CX135" s="130"/>
      <c r="CY135" s="269">
        <v>27.992557611436549</v>
      </c>
      <c r="CZ135" s="125">
        <v>459.05069084252278</v>
      </c>
      <c r="DA135" s="125">
        <v>14.3903749220901</v>
      </c>
      <c r="DB135" s="273">
        <v>11643.442444318529</v>
      </c>
      <c r="DC135" s="124"/>
      <c r="DD135" s="117">
        <v>212635</v>
      </c>
      <c r="DE135" s="117">
        <v>453818</v>
      </c>
      <c r="DF135" s="117">
        <v>-94</v>
      </c>
      <c r="DG135" s="117">
        <v>-241277</v>
      </c>
      <c r="DH135" s="117">
        <v>197254</v>
      </c>
      <c r="DI135" s="117">
        <v>88923</v>
      </c>
      <c r="DJ135" s="136"/>
      <c r="DL135" s="160">
        <v>-2368</v>
      </c>
      <c r="DM135" s="160">
        <v>1290</v>
      </c>
      <c r="DN135" s="161">
        <v>43822</v>
      </c>
      <c r="DO135" s="116">
        <v>27688</v>
      </c>
      <c r="DP135" s="160">
        <v>0</v>
      </c>
      <c r="DR135" s="161">
        <v>16134</v>
      </c>
      <c r="DS135" s="117">
        <v>43</v>
      </c>
      <c r="DT135" s="117">
        <v>-565</v>
      </c>
      <c r="DU135" s="116">
        <v>367</v>
      </c>
      <c r="DV135" s="116">
        <v>-2</v>
      </c>
      <c r="DW135" s="160">
        <v>15243</v>
      </c>
      <c r="DX135" s="160">
        <v>14780</v>
      </c>
      <c r="DY135" s="116">
        <v>39783</v>
      </c>
      <c r="DZ135" s="150"/>
      <c r="EA135" s="116">
        <v>-1255</v>
      </c>
      <c r="EB135" s="116">
        <v>-13832</v>
      </c>
      <c r="EC135" s="159">
        <v>-19774</v>
      </c>
      <c r="EE135" s="125"/>
      <c r="EF135" s="161"/>
      <c r="EG135" s="124"/>
      <c r="EH135" s="253">
        <v>20.5</v>
      </c>
      <c r="EI135" s="130"/>
      <c r="EJ135" s="125">
        <v>150</v>
      </c>
      <c r="EK135" s="116"/>
      <c r="EL135" s="159"/>
      <c r="EN135" s="116"/>
      <c r="EO135" s="116"/>
      <c r="EP135" s="159"/>
      <c r="EQ135" s="159">
        <v>-39903</v>
      </c>
      <c r="ER135" s="116">
        <v>2385</v>
      </c>
      <c r="ES135" s="116">
        <v>3645</v>
      </c>
      <c r="ET135" s="160">
        <v>-48944</v>
      </c>
      <c r="EU135" s="116">
        <v>3011</v>
      </c>
      <c r="EV135" s="116">
        <v>11730</v>
      </c>
      <c r="EW135" s="160">
        <v>-62460</v>
      </c>
      <c r="EX135" s="160">
        <v>256</v>
      </c>
      <c r="EY135" s="160">
        <v>2647</v>
      </c>
      <c r="EZ135" s="116">
        <v>30970</v>
      </c>
      <c r="FA135" s="116">
        <v>-2499</v>
      </c>
      <c r="FB135" s="116">
        <v>47259</v>
      </c>
      <c r="FC135" s="160">
        <v>-7499</v>
      </c>
      <c r="FD135" s="116">
        <v>35551</v>
      </c>
      <c r="FE135" s="116">
        <v>-9669</v>
      </c>
      <c r="FF135" s="3">
        <v>222603</v>
      </c>
      <c r="FG135" s="3">
        <v>181718</v>
      </c>
      <c r="FH135" s="3">
        <v>40885</v>
      </c>
      <c r="FI135" s="3">
        <v>53</v>
      </c>
      <c r="FJ135" s="125">
        <v>244962</v>
      </c>
      <c r="FK135" s="160">
        <v>212821</v>
      </c>
      <c r="FL135" s="125">
        <v>32141</v>
      </c>
      <c r="FM135" s="116">
        <v>53</v>
      </c>
      <c r="FN135" s="125">
        <v>280279</v>
      </c>
      <c r="FO135" s="116">
        <v>246177</v>
      </c>
      <c r="FP135" s="116">
        <v>34102</v>
      </c>
      <c r="FQ135" s="116">
        <v>-1255</v>
      </c>
      <c r="FR135" s="153">
        <v>4714</v>
      </c>
      <c r="FS135" s="153">
        <v>3808</v>
      </c>
      <c r="FT135" s="276">
        <v>3746</v>
      </c>
      <c r="FU135" s="3">
        <v>6619</v>
      </c>
      <c r="FV135" s="159">
        <v>6529</v>
      </c>
      <c r="FW135" s="170"/>
      <c r="FZ135" s="155"/>
      <c r="GA135" s="2"/>
      <c r="GD135" s="163"/>
      <c r="GE135" s="2"/>
      <c r="GF135" s="2"/>
    </row>
    <row r="136" spans="1:188" ht="14.5" x14ac:dyDescent="0.35">
      <c r="A136" s="72">
        <v>430</v>
      </c>
      <c r="B136" s="70" t="s">
        <v>132</v>
      </c>
      <c r="C136" s="158">
        <v>16032</v>
      </c>
      <c r="D136" s="171"/>
      <c r="E136" s="128">
        <v>0.61335612257355632</v>
      </c>
      <c r="F136" s="128">
        <v>46.191259275615806</v>
      </c>
      <c r="G136" s="129">
        <v>-3823.2909181636728</v>
      </c>
      <c r="H136" s="216"/>
      <c r="I136" s="172"/>
      <c r="J136" s="218"/>
      <c r="K136" s="128">
        <v>35.959779667712674</v>
      </c>
      <c r="L136" s="129">
        <v>572.60479041916165</v>
      </c>
      <c r="M136" s="129">
        <v>18.444795525731998</v>
      </c>
      <c r="N136" s="129">
        <v>11331.150199600799</v>
      </c>
      <c r="O136" s="129"/>
      <c r="P136" s="117">
        <v>70084</v>
      </c>
      <c r="Q136" s="161">
        <v>167122</v>
      </c>
      <c r="R136" s="161">
        <v>6</v>
      </c>
      <c r="S136" s="161">
        <v>-97032</v>
      </c>
      <c r="T136" s="124">
        <v>53278</v>
      </c>
      <c r="U136" s="124">
        <v>48729</v>
      </c>
      <c r="V136" s="136"/>
      <c r="X136" s="116">
        <v>-514</v>
      </c>
      <c r="Y136" s="116">
        <v>46</v>
      </c>
      <c r="Z136" s="161">
        <v>4507</v>
      </c>
      <c r="AA136" s="116">
        <v>8544</v>
      </c>
      <c r="AB136" s="116">
        <v>-62</v>
      </c>
      <c r="AD136" s="161">
        <v>-4099</v>
      </c>
      <c r="AE136" s="117">
        <v>-356</v>
      </c>
      <c r="AF136" s="117">
        <v>0</v>
      </c>
      <c r="AG136" s="116">
        <v>-184</v>
      </c>
      <c r="AH136" s="116">
        <v>-44</v>
      </c>
      <c r="AI136" s="160">
        <v>-4683</v>
      </c>
      <c r="AJ136" s="161">
        <v>6476</v>
      </c>
      <c r="AK136" s="161">
        <v>3590</v>
      </c>
      <c r="AL136" s="150"/>
      <c r="AM136" s="161">
        <v>365</v>
      </c>
      <c r="AN136" s="161">
        <v>-7674</v>
      </c>
      <c r="AO136" s="160">
        <v>-1826</v>
      </c>
      <c r="AQ136" s="160"/>
      <c r="AR136" s="117"/>
      <c r="AS136" s="117"/>
      <c r="AT136" s="99">
        <v>20.5</v>
      </c>
      <c r="AU136" s="130"/>
      <c r="AV136" s="262">
        <v>227</v>
      </c>
      <c r="AW136" s="267">
        <v>15875</v>
      </c>
      <c r="AX136" s="124"/>
      <c r="AY136" s="255">
        <v>0.931836959515285</v>
      </c>
      <c r="AZ136" s="259">
        <v>47.999197730724049</v>
      </c>
      <c r="BA136" s="160">
        <v>-3879.9370078740158</v>
      </c>
      <c r="BB136" s="130"/>
      <c r="BC136" s="130"/>
      <c r="BD136" s="130"/>
      <c r="BE136" s="128">
        <v>36.084822478250643</v>
      </c>
      <c r="BF136" s="160">
        <v>772.85039370078744</v>
      </c>
      <c r="BG136" s="129">
        <v>18.46777082701794</v>
      </c>
      <c r="BH136" s="131">
        <v>11428.976377952757</v>
      </c>
      <c r="BI136" s="124"/>
      <c r="BJ136" s="117">
        <v>71318</v>
      </c>
      <c r="BK136" s="117">
        <v>167845</v>
      </c>
      <c r="BL136" s="161">
        <v>40</v>
      </c>
      <c r="BM136" s="161">
        <v>-96487</v>
      </c>
      <c r="BN136" s="117">
        <v>54383</v>
      </c>
      <c r="BO136" s="117">
        <v>48804</v>
      </c>
      <c r="BP136" s="136"/>
      <c r="BR136" s="160">
        <v>-436</v>
      </c>
      <c r="BS136" s="160">
        <v>62</v>
      </c>
      <c r="BT136" s="161">
        <v>6326</v>
      </c>
      <c r="BU136" s="125">
        <v>7766</v>
      </c>
      <c r="BV136" s="160">
        <v>-827</v>
      </c>
      <c r="BX136" s="161">
        <v>-2267</v>
      </c>
      <c r="BY136" s="161">
        <v>-330</v>
      </c>
      <c r="BZ136" s="160">
        <v>0</v>
      </c>
      <c r="CA136" s="160">
        <v>181</v>
      </c>
      <c r="CB136" s="160">
        <v>-37</v>
      </c>
      <c r="CC136" s="160">
        <v>-2815</v>
      </c>
      <c r="CD136" s="160">
        <v>3630</v>
      </c>
      <c r="CE136" s="116">
        <v>5035</v>
      </c>
      <c r="CF136" s="150"/>
      <c r="CG136" s="161">
        <v>-494</v>
      </c>
      <c r="CH136" s="160">
        <v>-6821</v>
      </c>
      <c r="CI136" s="159">
        <v>-863</v>
      </c>
      <c r="CK136" s="124"/>
      <c r="CL136" s="161"/>
      <c r="CM136" s="124"/>
      <c r="CN136" s="265">
        <v>21</v>
      </c>
      <c r="CO136" s="130"/>
      <c r="CP136" s="116">
        <v>161</v>
      </c>
      <c r="CQ136" s="267">
        <v>15770</v>
      </c>
      <c r="CR136" s="124"/>
      <c r="CS136" s="268">
        <v>1.9146402986580566</v>
      </c>
      <c r="CT136" s="269">
        <v>42.870963840851374</v>
      </c>
      <c r="CU136" s="160">
        <v>-3121.8769816106533</v>
      </c>
      <c r="CV136" s="130"/>
      <c r="CW136" s="130"/>
      <c r="CX136" s="130"/>
      <c r="CY136" s="269">
        <v>41.838233713372553</v>
      </c>
      <c r="CZ136" s="125">
        <v>1194.2295497780594</v>
      </c>
      <c r="DA136" s="125">
        <v>38.43469387755102</v>
      </c>
      <c r="DB136" s="273">
        <v>11341.154090044387</v>
      </c>
      <c r="DC136" s="124"/>
      <c r="DD136" s="117">
        <v>70680</v>
      </c>
      <c r="DE136" s="117">
        <v>163126</v>
      </c>
      <c r="DF136" s="117">
        <v>50</v>
      </c>
      <c r="DG136" s="117">
        <v>-92396</v>
      </c>
      <c r="DH136" s="117">
        <v>55915</v>
      </c>
      <c r="DI136" s="117">
        <v>55323</v>
      </c>
      <c r="DJ136" s="136"/>
      <c r="DL136" s="160">
        <v>-395</v>
      </c>
      <c r="DM136" s="160">
        <v>130</v>
      </c>
      <c r="DN136" s="161">
        <v>18577</v>
      </c>
      <c r="DO136" s="116">
        <v>9066</v>
      </c>
      <c r="DP136" s="160">
        <v>-6</v>
      </c>
      <c r="DR136" s="161">
        <v>9505</v>
      </c>
      <c r="DS136" s="117">
        <v>-340</v>
      </c>
      <c r="DT136" s="116">
        <v>0</v>
      </c>
      <c r="DU136" s="116">
        <v>199</v>
      </c>
      <c r="DV136" s="116">
        <v>55</v>
      </c>
      <c r="DW136" s="160">
        <v>9021</v>
      </c>
      <c r="DX136" s="160">
        <v>12729</v>
      </c>
      <c r="DY136" s="116">
        <v>18138</v>
      </c>
      <c r="DZ136" s="150"/>
      <c r="EA136" s="117">
        <v>392</v>
      </c>
      <c r="EB136" s="116">
        <v>-9512</v>
      </c>
      <c r="EC136" s="159">
        <v>12260</v>
      </c>
      <c r="EE136" s="125"/>
      <c r="EF136" s="161"/>
      <c r="EG136" s="124"/>
      <c r="EH136" s="253">
        <v>21</v>
      </c>
      <c r="EI136" s="130"/>
      <c r="EJ136" s="125">
        <v>81</v>
      </c>
      <c r="EK136" s="116"/>
      <c r="EL136" s="159"/>
      <c r="EN136" s="116"/>
      <c r="EO136" s="116"/>
      <c r="EP136" s="159"/>
      <c r="EQ136" s="159">
        <v>-6976</v>
      </c>
      <c r="ER136" s="116">
        <v>366</v>
      </c>
      <c r="ES136" s="116">
        <v>1194</v>
      </c>
      <c r="ET136" s="160">
        <v>-6527</v>
      </c>
      <c r="EU136" s="116">
        <v>25</v>
      </c>
      <c r="EV136" s="116">
        <v>604</v>
      </c>
      <c r="EW136" s="160">
        <v>-6522</v>
      </c>
      <c r="EX136" s="160">
        <v>122</v>
      </c>
      <c r="EY136" s="160">
        <v>522</v>
      </c>
      <c r="EZ136" s="116">
        <v>5520</v>
      </c>
      <c r="FA136" s="116">
        <v>1012</v>
      </c>
      <c r="FB136" s="116">
        <v>9307</v>
      </c>
      <c r="FC136" s="160">
        <v>542</v>
      </c>
      <c r="FD136" s="116">
        <v>4314</v>
      </c>
      <c r="FE136" s="116">
        <v>0</v>
      </c>
      <c r="FF136" s="3">
        <v>54212</v>
      </c>
      <c r="FG136" s="3">
        <v>35296</v>
      </c>
      <c r="FH136" s="3">
        <v>18916</v>
      </c>
      <c r="FI136" s="3">
        <v>142</v>
      </c>
      <c r="FJ136" s="125">
        <v>58054</v>
      </c>
      <c r="FK136" s="160">
        <v>38096</v>
      </c>
      <c r="FL136" s="125">
        <v>19958</v>
      </c>
      <c r="FM136" s="116">
        <v>123</v>
      </c>
      <c r="FN136" s="125">
        <v>53607</v>
      </c>
      <c r="FO136" s="116">
        <v>32949</v>
      </c>
      <c r="FP136" s="116">
        <v>20658</v>
      </c>
      <c r="FQ136" s="116">
        <v>392</v>
      </c>
      <c r="FR136" s="153">
        <v>741</v>
      </c>
      <c r="FS136" s="153">
        <v>693</v>
      </c>
      <c r="FT136" s="276">
        <v>664</v>
      </c>
      <c r="FU136" s="3">
        <v>20794</v>
      </c>
      <c r="FV136" s="159">
        <v>21267</v>
      </c>
      <c r="FW136" s="170"/>
      <c r="FZ136" s="155"/>
      <c r="GA136" s="2"/>
      <c r="GD136" s="163"/>
      <c r="GE136" s="2"/>
      <c r="GF136" s="2"/>
    </row>
    <row r="137" spans="1:188" ht="14.5" x14ac:dyDescent="0.35">
      <c r="A137" s="72">
        <v>433</v>
      </c>
      <c r="B137" s="70" t="s">
        <v>133</v>
      </c>
      <c r="C137" s="158">
        <v>7861</v>
      </c>
      <c r="D137" s="171"/>
      <c r="E137" s="128">
        <v>0.48874824191279886</v>
      </c>
      <c r="F137" s="128">
        <v>54.590219027162874</v>
      </c>
      <c r="G137" s="129">
        <v>-4056.8629945299576</v>
      </c>
      <c r="H137" s="216"/>
      <c r="I137" s="172"/>
      <c r="J137" s="218"/>
      <c r="K137" s="128">
        <v>43.012171437890089</v>
      </c>
      <c r="L137" s="129">
        <v>417.1225034982827</v>
      </c>
      <c r="M137" s="129">
        <v>15.958863924261617</v>
      </c>
      <c r="N137" s="129">
        <v>9540.1348428953061</v>
      </c>
      <c r="O137" s="129"/>
      <c r="P137" s="117">
        <v>24931</v>
      </c>
      <c r="Q137" s="161">
        <v>65632</v>
      </c>
      <c r="R137" s="161">
        <v>-87</v>
      </c>
      <c r="S137" s="161">
        <v>-40788</v>
      </c>
      <c r="T137" s="124">
        <v>28086</v>
      </c>
      <c r="U137" s="124">
        <v>15422</v>
      </c>
      <c r="V137" s="136"/>
      <c r="X137" s="116">
        <v>-372</v>
      </c>
      <c r="Y137" s="116">
        <v>57</v>
      </c>
      <c r="Z137" s="161">
        <v>2405</v>
      </c>
      <c r="AA137" s="116">
        <v>3060</v>
      </c>
      <c r="AB137" s="116">
        <v>0</v>
      </c>
      <c r="AD137" s="161">
        <v>-655</v>
      </c>
      <c r="AE137" s="116">
        <v>0</v>
      </c>
      <c r="AF137" s="116">
        <v>1</v>
      </c>
      <c r="AG137" s="116">
        <v>-1</v>
      </c>
      <c r="AH137" s="116">
        <v>-28</v>
      </c>
      <c r="AI137" s="160">
        <v>-683</v>
      </c>
      <c r="AJ137" s="161">
        <v>12968</v>
      </c>
      <c r="AK137" s="161">
        <v>2364</v>
      </c>
      <c r="AL137" s="150"/>
      <c r="AM137" s="161">
        <v>-136</v>
      </c>
      <c r="AN137" s="161">
        <v>-5313</v>
      </c>
      <c r="AO137" s="160">
        <v>-25</v>
      </c>
      <c r="AQ137" s="160"/>
      <c r="AR137" s="117"/>
      <c r="AS137" s="117"/>
      <c r="AT137" s="99">
        <v>21.5</v>
      </c>
      <c r="AU137" s="130"/>
      <c r="AV137" s="262">
        <v>216</v>
      </c>
      <c r="AW137" s="267">
        <v>7828</v>
      </c>
      <c r="AX137" s="124"/>
      <c r="AY137" s="255">
        <v>0.98616555222504032</v>
      </c>
      <c r="AZ137" s="259">
        <v>54.636516485708583</v>
      </c>
      <c r="BA137" s="160">
        <v>-3935.2324987225343</v>
      </c>
      <c r="BB137" s="130"/>
      <c r="BC137" s="130"/>
      <c r="BD137" s="130"/>
      <c r="BE137" s="128">
        <v>43.16170613368093</v>
      </c>
      <c r="BF137" s="160">
        <v>679.48390393459374</v>
      </c>
      <c r="BG137" s="129">
        <v>16.306679568778705</v>
      </c>
      <c r="BH137" s="131">
        <v>9373.1476750127731</v>
      </c>
      <c r="BI137" s="124"/>
      <c r="BJ137" s="117">
        <v>24879</v>
      </c>
      <c r="BK137" s="117">
        <v>65892</v>
      </c>
      <c r="BL137" s="161">
        <v>-59</v>
      </c>
      <c r="BM137" s="161">
        <v>-41072</v>
      </c>
      <c r="BN137" s="117">
        <v>29180</v>
      </c>
      <c r="BO137" s="117">
        <v>16123</v>
      </c>
      <c r="BP137" s="136"/>
      <c r="BR137" s="160">
        <v>-356</v>
      </c>
      <c r="BS137" s="160">
        <v>40</v>
      </c>
      <c r="BT137" s="161">
        <v>3915</v>
      </c>
      <c r="BU137" s="125">
        <v>3150</v>
      </c>
      <c r="BV137" s="160">
        <v>0</v>
      </c>
      <c r="BX137" s="161">
        <v>765</v>
      </c>
      <c r="BY137" s="160">
        <v>-1</v>
      </c>
      <c r="BZ137" s="160">
        <v>2</v>
      </c>
      <c r="CA137" s="160">
        <v>0</v>
      </c>
      <c r="CB137" s="160">
        <v>21</v>
      </c>
      <c r="CC137" s="160">
        <v>787</v>
      </c>
      <c r="CD137" s="160">
        <v>13755</v>
      </c>
      <c r="CE137" s="116">
        <v>3551</v>
      </c>
      <c r="CF137" s="150"/>
      <c r="CG137" s="160">
        <v>-29</v>
      </c>
      <c r="CH137" s="160">
        <v>-3975</v>
      </c>
      <c r="CI137" s="159">
        <v>919</v>
      </c>
      <c r="CK137" s="124"/>
      <c r="CL137" s="161"/>
      <c r="CM137" s="124"/>
      <c r="CN137" s="265">
        <v>21.5</v>
      </c>
      <c r="CO137" s="130"/>
      <c r="CP137" s="116">
        <v>120</v>
      </c>
      <c r="CQ137" s="267">
        <v>7853</v>
      </c>
      <c r="CR137" s="124"/>
      <c r="CS137" s="268">
        <v>2.4331051649035471</v>
      </c>
      <c r="CT137" s="269">
        <v>50.362833043245416</v>
      </c>
      <c r="CU137" s="160">
        <v>-3259.900674901312</v>
      </c>
      <c r="CV137" s="130"/>
      <c r="CW137" s="130"/>
      <c r="CX137" s="130"/>
      <c r="CY137" s="269">
        <v>45.482993967885363</v>
      </c>
      <c r="CZ137" s="125">
        <v>1124.4110531007259</v>
      </c>
      <c r="DA137" s="125">
        <v>44.271899339276636</v>
      </c>
      <c r="DB137" s="273">
        <v>9270.2152043804908</v>
      </c>
      <c r="DC137" s="124"/>
      <c r="DD137" s="117">
        <v>25991</v>
      </c>
      <c r="DE137" s="117">
        <v>66879</v>
      </c>
      <c r="DF137" s="117">
        <v>-50</v>
      </c>
      <c r="DG137" s="117">
        <v>-40938</v>
      </c>
      <c r="DH137" s="117">
        <v>29963</v>
      </c>
      <c r="DI137" s="117">
        <v>18736</v>
      </c>
      <c r="DJ137" s="136"/>
      <c r="DL137" s="160">
        <v>-329</v>
      </c>
      <c r="DM137" s="160">
        <v>46</v>
      </c>
      <c r="DN137" s="161">
        <v>7478</v>
      </c>
      <c r="DO137" s="116">
        <v>5233</v>
      </c>
      <c r="DP137" s="160">
        <v>0</v>
      </c>
      <c r="DR137" s="161">
        <v>2245</v>
      </c>
      <c r="DS137" s="116">
        <v>-1</v>
      </c>
      <c r="DT137" s="116">
        <v>2</v>
      </c>
      <c r="DU137" s="116">
        <v>0</v>
      </c>
      <c r="DV137" s="116">
        <v>-6</v>
      </c>
      <c r="DW137" s="160">
        <v>2240</v>
      </c>
      <c r="DX137" s="160">
        <v>16077</v>
      </c>
      <c r="DY137" s="116">
        <v>7314</v>
      </c>
      <c r="DZ137" s="150"/>
      <c r="EA137" s="116">
        <v>-966</v>
      </c>
      <c r="EB137" s="116">
        <v>-2872</v>
      </c>
      <c r="EC137" s="159">
        <v>5120</v>
      </c>
      <c r="EE137" s="125"/>
      <c r="EF137" s="161"/>
      <c r="EG137" s="124"/>
      <c r="EH137" s="253">
        <v>21.5</v>
      </c>
      <c r="EI137" s="130"/>
      <c r="EJ137" s="125">
        <v>152</v>
      </c>
      <c r="EK137" s="116"/>
      <c r="EL137" s="159"/>
      <c r="EN137" s="116"/>
      <c r="EO137" s="116"/>
      <c r="EP137" s="159"/>
      <c r="EQ137" s="159">
        <v>-3670</v>
      </c>
      <c r="ER137" s="116">
        <v>4</v>
      </c>
      <c r="ES137" s="116">
        <v>1277</v>
      </c>
      <c r="ET137" s="160">
        <v>-3141</v>
      </c>
      <c r="EU137" s="116">
        <v>84</v>
      </c>
      <c r="EV137" s="116">
        <v>425</v>
      </c>
      <c r="EW137" s="160">
        <v>-2696</v>
      </c>
      <c r="EX137" s="160">
        <v>177</v>
      </c>
      <c r="EY137" s="160">
        <v>325</v>
      </c>
      <c r="EZ137" s="116">
        <v>4509</v>
      </c>
      <c r="FA137" s="116">
        <v>0</v>
      </c>
      <c r="FB137" s="116">
        <v>5127</v>
      </c>
      <c r="FC137" s="160">
        <v>282</v>
      </c>
      <c r="FD137" s="116">
        <v>1128</v>
      </c>
      <c r="FE137" s="116">
        <v>-342</v>
      </c>
      <c r="FF137" s="3">
        <v>27988</v>
      </c>
      <c r="FG137" s="3">
        <v>21663</v>
      </c>
      <c r="FH137" s="3">
        <v>6325</v>
      </c>
      <c r="FI137" s="3">
        <v>39</v>
      </c>
      <c r="FJ137" s="125">
        <v>29421</v>
      </c>
      <c r="FK137" s="160">
        <v>22425</v>
      </c>
      <c r="FL137" s="125">
        <v>6996</v>
      </c>
      <c r="FM137" s="116">
        <v>35</v>
      </c>
      <c r="FN137" s="125">
        <v>27336</v>
      </c>
      <c r="FO137" s="116">
        <v>19601</v>
      </c>
      <c r="FP137" s="116">
        <v>7735</v>
      </c>
      <c r="FQ137" s="116">
        <v>-966</v>
      </c>
      <c r="FR137" s="153">
        <v>161</v>
      </c>
      <c r="FS137" s="153">
        <v>260</v>
      </c>
      <c r="FT137" s="276">
        <v>489</v>
      </c>
      <c r="FU137" s="3">
        <v>406</v>
      </c>
      <c r="FV137" s="159">
        <v>486</v>
      </c>
      <c r="FW137" s="170"/>
      <c r="FZ137" s="155"/>
      <c r="GA137" s="2"/>
      <c r="GD137" s="163"/>
      <c r="GE137" s="2"/>
      <c r="GF137" s="2"/>
    </row>
    <row r="138" spans="1:188" ht="14.5" x14ac:dyDescent="0.35">
      <c r="A138" s="72">
        <v>434</v>
      </c>
      <c r="B138" s="70" t="s">
        <v>134</v>
      </c>
      <c r="C138" s="158">
        <v>14891</v>
      </c>
      <c r="D138" s="171"/>
      <c r="E138" s="128">
        <v>1.9721549636803875</v>
      </c>
      <c r="F138" s="128">
        <v>61.548374306106268</v>
      </c>
      <c r="G138" s="129">
        <v>-4608.3540393526291</v>
      </c>
      <c r="H138" s="216"/>
      <c r="I138" s="172"/>
      <c r="J138" s="218"/>
      <c r="K138" s="128">
        <v>40.949011391562735</v>
      </c>
      <c r="L138" s="129">
        <v>612.78624672621049</v>
      </c>
      <c r="M138" s="129">
        <v>20.440806431815393</v>
      </c>
      <c r="N138" s="129">
        <v>10942.179840171915</v>
      </c>
      <c r="O138" s="129"/>
      <c r="P138" s="117">
        <v>53875</v>
      </c>
      <c r="Q138" s="161">
        <v>141448</v>
      </c>
      <c r="R138" s="161">
        <v>11857</v>
      </c>
      <c r="S138" s="161">
        <v>-75716</v>
      </c>
      <c r="T138" s="124">
        <v>60000</v>
      </c>
      <c r="U138" s="124">
        <v>27357</v>
      </c>
      <c r="V138" s="136"/>
      <c r="X138" s="116">
        <v>-255</v>
      </c>
      <c r="Y138" s="116">
        <v>1255</v>
      </c>
      <c r="Z138" s="161">
        <v>12641</v>
      </c>
      <c r="AA138" s="116">
        <v>7341</v>
      </c>
      <c r="AB138" s="117">
        <v>-5</v>
      </c>
      <c r="AD138" s="161">
        <v>5295</v>
      </c>
      <c r="AE138" s="117">
        <v>-14</v>
      </c>
      <c r="AF138" s="117">
        <v>-10</v>
      </c>
      <c r="AG138" s="116">
        <v>-27</v>
      </c>
      <c r="AH138" s="116">
        <v>-31</v>
      </c>
      <c r="AI138" s="160">
        <v>5213</v>
      </c>
      <c r="AJ138" s="161">
        <v>15641</v>
      </c>
      <c r="AK138" s="161">
        <v>56</v>
      </c>
      <c r="AL138" s="150"/>
      <c r="AM138" s="161">
        <v>1919</v>
      </c>
      <c r="AN138" s="161">
        <v>-6217</v>
      </c>
      <c r="AO138" s="160">
        <v>-13202</v>
      </c>
      <c r="AQ138" s="160"/>
      <c r="AR138" s="117"/>
      <c r="AS138" s="117"/>
      <c r="AT138" s="99">
        <v>19.75</v>
      </c>
      <c r="AU138" s="130"/>
      <c r="AV138" s="262">
        <v>40</v>
      </c>
      <c r="AW138" s="267">
        <v>14772</v>
      </c>
      <c r="AX138" s="124"/>
      <c r="AY138" s="255">
        <v>0.47364818617385351</v>
      </c>
      <c r="AZ138" s="259">
        <v>74.869481147276829</v>
      </c>
      <c r="BA138" s="160">
        <v>-5645.9518007040351</v>
      </c>
      <c r="BB138" s="130"/>
      <c r="BC138" s="130"/>
      <c r="BD138" s="130"/>
      <c r="BE138" s="128">
        <v>34.779306839130086</v>
      </c>
      <c r="BF138" s="160">
        <v>853.30354725155701</v>
      </c>
      <c r="BG138" s="129">
        <v>19.927664343375625</v>
      </c>
      <c r="BH138" s="131">
        <v>11295.762252910914</v>
      </c>
      <c r="BI138" s="124"/>
      <c r="BJ138" s="117">
        <v>55484</v>
      </c>
      <c r="BK138" s="117">
        <v>140789</v>
      </c>
      <c r="BL138" s="161">
        <v>2732</v>
      </c>
      <c r="BM138" s="161">
        <v>-82573</v>
      </c>
      <c r="BN138" s="117">
        <v>59292</v>
      </c>
      <c r="BO138" s="117">
        <v>24859</v>
      </c>
      <c r="BP138" s="136"/>
      <c r="BR138" s="160">
        <v>-389</v>
      </c>
      <c r="BS138" s="160">
        <v>53</v>
      </c>
      <c r="BT138" s="161">
        <v>1242</v>
      </c>
      <c r="BU138" s="125">
        <v>8703</v>
      </c>
      <c r="BV138" s="161">
        <v>-260</v>
      </c>
      <c r="BW138" s="117"/>
      <c r="BX138" s="161">
        <v>-7721</v>
      </c>
      <c r="BY138" s="161">
        <v>-34</v>
      </c>
      <c r="BZ138" s="160">
        <v>-5</v>
      </c>
      <c r="CA138" s="160">
        <v>30</v>
      </c>
      <c r="CB138" s="160">
        <v>-11</v>
      </c>
      <c r="CC138" s="160">
        <v>-7801</v>
      </c>
      <c r="CD138" s="160">
        <v>7859</v>
      </c>
      <c r="CE138" s="116">
        <v>-1442</v>
      </c>
      <c r="CF138" s="150"/>
      <c r="CG138" s="161">
        <v>265</v>
      </c>
      <c r="CH138" s="160">
        <v>-6907</v>
      </c>
      <c r="CI138" s="159">
        <v>-16914</v>
      </c>
      <c r="CK138" s="124"/>
      <c r="CL138" s="161"/>
      <c r="CM138" s="124"/>
      <c r="CN138" s="265">
        <v>19.75</v>
      </c>
      <c r="CO138" s="130"/>
      <c r="CP138" s="116">
        <v>238</v>
      </c>
      <c r="CQ138" s="267">
        <v>14745</v>
      </c>
      <c r="CR138" s="124"/>
      <c r="CS138" s="268">
        <v>1.4332840965041851</v>
      </c>
      <c r="CT138" s="269">
        <v>83.798901106149458</v>
      </c>
      <c r="CU138" s="160">
        <v>-6126.8226517463545</v>
      </c>
      <c r="CV138" s="130"/>
      <c r="CW138" s="130"/>
      <c r="CX138" s="130"/>
      <c r="CY138" s="269">
        <v>31.799357184256284</v>
      </c>
      <c r="CZ138" s="125">
        <v>1893.9301458121397</v>
      </c>
      <c r="DA138" s="125">
        <v>59.416674924657968</v>
      </c>
      <c r="DB138" s="273">
        <v>11634.52017633096</v>
      </c>
      <c r="DC138" s="124"/>
      <c r="DD138" s="117">
        <v>56808</v>
      </c>
      <c r="DE138" s="117">
        <v>140161</v>
      </c>
      <c r="DF138" s="117">
        <v>3050</v>
      </c>
      <c r="DG138" s="117">
        <v>-80303</v>
      </c>
      <c r="DH138" s="117">
        <v>61308</v>
      </c>
      <c r="DI138" s="117">
        <v>33491</v>
      </c>
      <c r="DJ138" s="136"/>
      <c r="DL138" s="160">
        <v>-375</v>
      </c>
      <c r="DM138" s="160">
        <v>53</v>
      </c>
      <c r="DN138" s="161">
        <v>14174</v>
      </c>
      <c r="DO138" s="116">
        <v>8517</v>
      </c>
      <c r="DP138" s="161">
        <v>-191</v>
      </c>
      <c r="DQ138" s="117"/>
      <c r="DR138" s="161">
        <v>5466</v>
      </c>
      <c r="DS138" s="117">
        <v>-18</v>
      </c>
      <c r="DT138" s="116">
        <v>-5</v>
      </c>
      <c r="DU138" s="116">
        <v>48</v>
      </c>
      <c r="DV138" s="116">
        <v>1</v>
      </c>
      <c r="DW138" s="160">
        <v>5396</v>
      </c>
      <c r="DX138" s="160">
        <v>13257</v>
      </c>
      <c r="DY138" s="116">
        <v>10001</v>
      </c>
      <c r="DZ138" s="150"/>
      <c r="EA138" s="117">
        <v>-280</v>
      </c>
      <c r="EB138" s="116">
        <v>-9774</v>
      </c>
      <c r="EC138" s="159">
        <v>-6584</v>
      </c>
      <c r="EE138" s="125"/>
      <c r="EF138" s="161"/>
      <c r="EG138" s="124"/>
      <c r="EH138" s="253">
        <v>20.25</v>
      </c>
      <c r="EI138" s="130"/>
      <c r="EJ138" s="125">
        <v>148</v>
      </c>
      <c r="EK138" s="116"/>
      <c r="EL138" s="159"/>
      <c r="EN138" s="116"/>
      <c r="EO138" s="116"/>
      <c r="EP138" s="159"/>
      <c r="EQ138" s="159">
        <v>-14632</v>
      </c>
      <c r="ER138" s="116">
        <v>176</v>
      </c>
      <c r="ES138" s="116">
        <v>1198</v>
      </c>
      <c r="ET138" s="160">
        <v>-18551</v>
      </c>
      <c r="EU138" s="116">
        <v>78</v>
      </c>
      <c r="EV138" s="116">
        <v>3001</v>
      </c>
      <c r="EW138" s="160">
        <v>-21048</v>
      </c>
      <c r="EX138" s="160">
        <v>356</v>
      </c>
      <c r="EY138" s="160">
        <v>4107</v>
      </c>
      <c r="EZ138" s="116">
        <v>8554</v>
      </c>
      <c r="FA138" s="116">
        <v>5987</v>
      </c>
      <c r="FB138" s="116">
        <v>27522</v>
      </c>
      <c r="FC138" s="160">
        <v>215</v>
      </c>
      <c r="FD138" s="116">
        <v>30596</v>
      </c>
      <c r="FE138" s="116">
        <v>-157</v>
      </c>
      <c r="FF138" s="3">
        <v>65431</v>
      </c>
      <c r="FG138" s="3">
        <v>44444</v>
      </c>
      <c r="FH138" s="3">
        <v>20987</v>
      </c>
      <c r="FI138" s="3">
        <v>1</v>
      </c>
      <c r="FJ138" s="125">
        <v>84874</v>
      </c>
      <c r="FK138" s="160">
        <v>62919</v>
      </c>
      <c r="FL138" s="125">
        <v>21955</v>
      </c>
      <c r="FM138" s="116">
        <v>1</v>
      </c>
      <c r="FN138" s="125">
        <v>105539</v>
      </c>
      <c r="FO138" s="116">
        <v>81755</v>
      </c>
      <c r="FP138" s="116">
        <v>23784</v>
      </c>
      <c r="FQ138" s="116">
        <v>-280</v>
      </c>
      <c r="FR138" s="153">
        <v>2242</v>
      </c>
      <c r="FS138" s="153">
        <v>1937</v>
      </c>
      <c r="FT138" s="276">
        <v>1944</v>
      </c>
      <c r="FU138" s="3">
        <v>7999</v>
      </c>
      <c r="FV138" s="159">
        <v>20359</v>
      </c>
      <c r="FW138" s="170"/>
      <c r="FZ138" s="155"/>
      <c r="GA138" s="2"/>
      <c r="GD138" s="163"/>
      <c r="GE138" s="2"/>
      <c r="GF138" s="2"/>
    </row>
    <row r="139" spans="1:188" ht="14.5" x14ac:dyDescent="0.35">
      <c r="A139" s="72">
        <v>435</v>
      </c>
      <c r="B139" s="70" t="s">
        <v>135</v>
      </c>
      <c r="C139" s="158">
        <v>707</v>
      </c>
      <c r="D139" s="171"/>
      <c r="E139" s="128">
        <v>1.4192634560906516</v>
      </c>
      <c r="F139" s="128">
        <v>59.44970119521912</v>
      </c>
      <c r="G139" s="129">
        <v>-4002.8288543140029</v>
      </c>
      <c r="H139" s="216"/>
      <c r="I139" s="172"/>
      <c r="J139" s="218"/>
      <c r="K139" s="128">
        <v>48.452963850401083</v>
      </c>
      <c r="L139" s="129">
        <v>1991.5134370579915</v>
      </c>
      <c r="M139" s="129">
        <v>58.47309136420526</v>
      </c>
      <c r="N139" s="129">
        <v>12431.40028288543</v>
      </c>
      <c r="O139" s="129"/>
      <c r="P139" s="117">
        <v>2621</v>
      </c>
      <c r="Q139" s="161">
        <v>7452</v>
      </c>
      <c r="R139" s="161">
        <v>0</v>
      </c>
      <c r="S139" s="161">
        <v>-4831</v>
      </c>
      <c r="T139" s="124">
        <v>2452</v>
      </c>
      <c r="U139" s="124">
        <v>2959</v>
      </c>
      <c r="V139" s="136"/>
      <c r="X139" s="116">
        <v>6</v>
      </c>
      <c r="Y139" s="116">
        <v>-99</v>
      </c>
      <c r="Z139" s="161">
        <v>487</v>
      </c>
      <c r="AA139" s="116">
        <v>357</v>
      </c>
      <c r="AB139" s="117">
        <v>69</v>
      </c>
      <c r="AD139" s="161">
        <v>199</v>
      </c>
      <c r="AE139" s="116">
        <v>0</v>
      </c>
      <c r="AF139" s="116">
        <v>0</v>
      </c>
      <c r="AG139" s="116">
        <v>0</v>
      </c>
      <c r="AH139" s="116">
        <v>0</v>
      </c>
      <c r="AI139" s="160">
        <v>199</v>
      </c>
      <c r="AJ139" s="161">
        <v>2174</v>
      </c>
      <c r="AK139" s="161">
        <v>553</v>
      </c>
      <c r="AL139" s="150"/>
      <c r="AM139" s="161">
        <v>99</v>
      </c>
      <c r="AN139" s="161">
        <v>-339</v>
      </c>
      <c r="AO139" s="160">
        <v>-329</v>
      </c>
      <c r="AQ139" s="160"/>
      <c r="AR139" s="117"/>
      <c r="AS139" s="117"/>
      <c r="AT139" s="99">
        <v>18.5</v>
      </c>
      <c r="AU139" s="130"/>
      <c r="AV139" s="262">
        <v>77</v>
      </c>
      <c r="AW139" s="267">
        <v>690</v>
      </c>
      <c r="AX139" s="124"/>
      <c r="AY139" s="255">
        <v>0.48223350253807107</v>
      </c>
      <c r="AZ139" s="259">
        <v>60.295591182364731</v>
      </c>
      <c r="BA139" s="160">
        <v>-4734.782608695652</v>
      </c>
      <c r="BB139" s="130"/>
      <c r="BC139" s="130"/>
      <c r="BD139" s="130"/>
      <c r="BE139" s="128">
        <v>35.179257362355955</v>
      </c>
      <c r="BF139" s="160">
        <v>1807.2463768115942</v>
      </c>
      <c r="BG139" s="129">
        <v>59.050901987820296</v>
      </c>
      <c r="BH139" s="131">
        <v>12613.04347826087</v>
      </c>
      <c r="BI139" s="124"/>
      <c r="BJ139" s="117">
        <v>2553</v>
      </c>
      <c r="BK139" s="117">
        <v>7929</v>
      </c>
      <c r="BL139" s="161">
        <v>0</v>
      </c>
      <c r="BM139" s="161">
        <v>-5376</v>
      </c>
      <c r="BN139" s="117">
        <v>2642</v>
      </c>
      <c r="BO139" s="117">
        <v>2789</v>
      </c>
      <c r="BP139" s="136"/>
      <c r="BR139" s="160">
        <v>-13</v>
      </c>
      <c r="BS139" s="160">
        <v>29</v>
      </c>
      <c r="BT139" s="161">
        <v>71</v>
      </c>
      <c r="BU139" s="125">
        <v>361</v>
      </c>
      <c r="BV139" s="161">
        <v>-1111</v>
      </c>
      <c r="BX139" s="161">
        <v>-1401</v>
      </c>
      <c r="BY139" s="160">
        <v>-2</v>
      </c>
      <c r="BZ139" s="160">
        <v>0</v>
      </c>
      <c r="CA139" s="160">
        <v>0</v>
      </c>
      <c r="CB139" s="160">
        <v>0</v>
      </c>
      <c r="CC139" s="160">
        <v>-1403</v>
      </c>
      <c r="CD139" s="160">
        <v>776</v>
      </c>
      <c r="CE139" s="116">
        <v>90</v>
      </c>
      <c r="CF139" s="150"/>
      <c r="CG139" s="161">
        <v>223</v>
      </c>
      <c r="CH139" s="160">
        <v>-173</v>
      </c>
      <c r="CI139" s="159">
        <v>-455</v>
      </c>
      <c r="CK139" s="124"/>
      <c r="CL139" s="161"/>
      <c r="CM139" s="124"/>
      <c r="CN139" s="265">
        <v>18.5</v>
      </c>
      <c r="CO139" s="130"/>
      <c r="CP139" s="116">
        <v>259</v>
      </c>
      <c r="CQ139" s="267">
        <v>699</v>
      </c>
      <c r="CR139" s="124"/>
      <c r="CS139" s="268">
        <v>3.7244094488188977</v>
      </c>
      <c r="CT139" s="269">
        <v>70.994900984228622</v>
      </c>
      <c r="CU139" s="160">
        <v>-5450.6437768240339</v>
      </c>
      <c r="CV139" s="130"/>
      <c r="CW139" s="130"/>
      <c r="CX139" s="130"/>
      <c r="CY139" s="269">
        <v>39.03283227848101</v>
      </c>
      <c r="CZ139" s="125">
        <v>2316.1659513590844</v>
      </c>
      <c r="DA139" s="125">
        <v>71.933657942787576</v>
      </c>
      <c r="DB139" s="273">
        <v>11752.503576537911</v>
      </c>
      <c r="DC139" s="124"/>
      <c r="DD139" s="117">
        <v>2832</v>
      </c>
      <c r="DE139" s="117">
        <v>7478</v>
      </c>
      <c r="DF139" s="117">
        <v>0</v>
      </c>
      <c r="DG139" s="117">
        <v>-4646</v>
      </c>
      <c r="DH139" s="117">
        <v>2647</v>
      </c>
      <c r="DI139" s="117">
        <v>2954</v>
      </c>
      <c r="DJ139" s="136"/>
      <c r="DL139" s="160">
        <v>-25</v>
      </c>
      <c r="DM139" s="160">
        <v>-9</v>
      </c>
      <c r="DN139" s="161">
        <v>921</v>
      </c>
      <c r="DO139" s="116">
        <v>349</v>
      </c>
      <c r="DP139" s="161">
        <v>0</v>
      </c>
      <c r="DR139" s="161">
        <v>572</v>
      </c>
      <c r="DS139" s="116">
        <v>5</v>
      </c>
      <c r="DT139" s="116">
        <v>0</v>
      </c>
      <c r="DU139" s="116">
        <v>-2</v>
      </c>
      <c r="DV139" s="116">
        <v>0</v>
      </c>
      <c r="DW139" s="160">
        <v>579</v>
      </c>
      <c r="DX139" s="160">
        <v>1412</v>
      </c>
      <c r="DY139" s="116">
        <v>-145</v>
      </c>
      <c r="DZ139" s="150"/>
      <c r="EA139" s="117">
        <v>-241</v>
      </c>
      <c r="EB139" s="116">
        <v>-229</v>
      </c>
      <c r="EC139" s="159">
        <v>-562</v>
      </c>
      <c r="EE139" s="125"/>
      <c r="EF139" s="161"/>
      <c r="EG139" s="124"/>
      <c r="EH139" s="253">
        <v>18.5</v>
      </c>
      <c r="EI139" s="130"/>
      <c r="EJ139" s="125">
        <v>49</v>
      </c>
      <c r="EK139" s="116"/>
      <c r="EL139" s="159"/>
      <c r="EN139" s="116"/>
      <c r="EO139" s="116"/>
      <c r="EP139" s="159"/>
      <c r="EQ139" s="159">
        <v>-882</v>
      </c>
      <c r="ER139" s="116">
        <v>-1</v>
      </c>
      <c r="ES139" s="116">
        <v>1</v>
      </c>
      <c r="ET139" s="160">
        <v>-575</v>
      </c>
      <c r="EU139" s="116">
        <v>1</v>
      </c>
      <c r="EV139" s="116">
        <v>29</v>
      </c>
      <c r="EW139" s="160">
        <v>-480</v>
      </c>
      <c r="EX139" s="160">
        <v>0</v>
      </c>
      <c r="EY139" s="160">
        <v>63</v>
      </c>
      <c r="EZ139" s="116">
        <v>428</v>
      </c>
      <c r="FA139" s="116">
        <v>94</v>
      </c>
      <c r="FB139" s="116">
        <v>521</v>
      </c>
      <c r="FC139" s="160">
        <v>-99</v>
      </c>
      <c r="FD139" s="116">
        <v>1211</v>
      </c>
      <c r="FE139" s="116">
        <v>185</v>
      </c>
      <c r="FF139" s="3">
        <v>3310</v>
      </c>
      <c r="FG139" s="3">
        <v>3310</v>
      </c>
      <c r="FH139" s="3">
        <v>0</v>
      </c>
      <c r="FI139" s="3">
        <v>0</v>
      </c>
      <c r="FJ139" s="125">
        <v>3865</v>
      </c>
      <c r="FK139" s="160">
        <v>3654</v>
      </c>
      <c r="FL139" s="125">
        <v>211</v>
      </c>
      <c r="FM139" s="116">
        <v>0</v>
      </c>
      <c r="FN139" s="125">
        <v>4984</v>
      </c>
      <c r="FO139" s="116">
        <v>4530</v>
      </c>
      <c r="FP139" s="116">
        <v>454</v>
      </c>
      <c r="FQ139" s="116">
        <v>-241</v>
      </c>
      <c r="FR139" s="153">
        <v>5304</v>
      </c>
      <c r="FS139" s="153">
        <v>1121</v>
      </c>
      <c r="FT139" s="276">
        <v>10</v>
      </c>
      <c r="FU139" s="3">
        <v>21</v>
      </c>
      <c r="FV139" s="159">
        <v>100</v>
      </c>
      <c r="FW139" s="170"/>
      <c r="FZ139" s="155"/>
      <c r="GA139" s="2"/>
      <c r="GD139" s="163"/>
      <c r="GE139" s="2"/>
      <c r="GF139" s="2"/>
    </row>
    <row r="140" spans="1:188" ht="14.5" x14ac:dyDescent="0.35">
      <c r="A140" s="72">
        <v>436</v>
      </c>
      <c r="B140" s="70" t="s">
        <v>136</v>
      </c>
      <c r="C140" s="158">
        <v>2052</v>
      </c>
      <c r="D140" s="171"/>
      <c r="E140" s="128">
        <v>1.6920374707259953</v>
      </c>
      <c r="F140" s="128">
        <v>69.862076826627145</v>
      </c>
      <c r="G140" s="129">
        <v>-4714.4249512670567</v>
      </c>
      <c r="H140" s="216"/>
      <c r="I140" s="172"/>
      <c r="J140" s="218"/>
      <c r="K140" s="128">
        <v>27.637551201151332</v>
      </c>
      <c r="L140" s="129">
        <v>511.69590643274853</v>
      </c>
      <c r="M140" s="129">
        <v>19.929797191887676</v>
      </c>
      <c r="N140" s="129">
        <v>9371.3450292397665</v>
      </c>
      <c r="O140" s="129"/>
      <c r="P140" s="117">
        <v>5172</v>
      </c>
      <c r="Q140" s="161">
        <v>16090</v>
      </c>
      <c r="R140" s="161">
        <v>-18</v>
      </c>
      <c r="S140" s="161">
        <v>-10936</v>
      </c>
      <c r="T140" s="124">
        <v>5692</v>
      </c>
      <c r="U140" s="124">
        <v>6682</v>
      </c>
      <c r="V140" s="136"/>
      <c r="X140" s="116">
        <v>-70</v>
      </c>
      <c r="Y140" s="116">
        <v>5</v>
      </c>
      <c r="Z140" s="161">
        <v>1373</v>
      </c>
      <c r="AA140" s="116">
        <v>1289</v>
      </c>
      <c r="AB140" s="116">
        <v>90</v>
      </c>
      <c r="AD140" s="161">
        <v>174</v>
      </c>
      <c r="AE140" s="117">
        <v>10</v>
      </c>
      <c r="AF140" s="117">
        <v>-11</v>
      </c>
      <c r="AG140" s="116">
        <v>-7</v>
      </c>
      <c r="AH140" s="116">
        <v>-16</v>
      </c>
      <c r="AI140" s="160">
        <v>150</v>
      </c>
      <c r="AJ140" s="161">
        <v>1147</v>
      </c>
      <c r="AK140" s="161">
        <v>1376</v>
      </c>
      <c r="AL140" s="150"/>
      <c r="AM140" s="161">
        <v>-385</v>
      </c>
      <c r="AN140" s="161">
        <v>-782</v>
      </c>
      <c r="AO140" s="160">
        <v>-687</v>
      </c>
      <c r="AQ140" s="160"/>
      <c r="AR140" s="117"/>
      <c r="AS140" s="117"/>
      <c r="AT140" s="99">
        <v>21</v>
      </c>
      <c r="AU140" s="130"/>
      <c r="AV140" s="262">
        <v>84</v>
      </c>
      <c r="AW140" s="267">
        <v>2020</v>
      </c>
      <c r="AX140" s="124"/>
      <c r="AY140" s="255">
        <v>2.3932038834951457</v>
      </c>
      <c r="AZ140" s="259">
        <v>71.048895451189736</v>
      </c>
      <c r="BA140" s="160">
        <v>-4704.9504950495048</v>
      </c>
      <c r="BB140" s="130"/>
      <c r="BC140" s="130"/>
      <c r="BD140" s="130"/>
      <c r="BE140" s="128">
        <v>29.364149536691873</v>
      </c>
      <c r="BF140" s="160">
        <v>855.94059405940595</v>
      </c>
      <c r="BG140" s="129">
        <v>21.298766255418474</v>
      </c>
      <c r="BH140" s="131">
        <v>8907.9207920792087</v>
      </c>
      <c r="BI140" s="124"/>
      <c r="BJ140" s="117">
        <v>4962</v>
      </c>
      <c r="BK140" s="117">
        <v>16175</v>
      </c>
      <c r="BL140" s="161">
        <v>36</v>
      </c>
      <c r="BM140" s="161">
        <v>-11177</v>
      </c>
      <c r="BN140" s="117">
        <v>5910</v>
      </c>
      <c r="BO140" s="117">
        <v>6737</v>
      </c>
      <c r="BP140" s="136"/>
      <c r="BR140" s="160">
        <v>-55</v>
      </c>
      <c r="BS140" s="160">
        <v>6</v>
      </c>
      <c r="BT140" s="161">
        <v>1421</v>
      </c>
      <c r="BU140" s="125">
        <v>1025</v>
      </c>
      <c r="BV140" s="160">
        <v>0</v>
      </c>
      <c r="BX140" s="161">
        <v>396</v>
      </c>
      <c r="BY140" s="161">
        <v>18</v>
      </c>
      <c r="BZ140" s="160">
        <v>-1</v>
      </c>
      <c r="CA140" s="160">
        <v>6</v>
      </c>
      <c r="CB140" s="160">
        <v>-12</v>
      </c>
      <c r="CC140" s="160">
        <v>395</v>
      </c>
      <c r="CD140" s="160">
        <v>1542</v>
      </c>
      <c r="CE140" s="116">
        <v>1333</v>
      </c>
      <c r="CF140" s="150"/>
      <c r="CG140" s="160">
        <v>256</v>
      </c>
      <c r="CH140" s="160">
        <v>-560</v>
      </c>
      <c r="CI140" s="159">
        <v>179</v>
      </c>
      <c r="CK140" s="124"/>
      <c r="CL140" s="161"/>
      <c r="CM140" s="124"/>
      <c r="CN140" s="265">
        <v>21</v>
      </c>
      <c r="CO140" s="130"/>
      <c r="CP140" s="116">
        <v>58</v>
      </c>
      <c r="CQ140" s="267">
        <v>2036</v>
      </c>
      <c r="CR140" s="124"/>
      <c r="CS140" s="268">
        <v>3.9715447154471546</v>
      </c>
      <c r="CT140" s="269">
        <v>67.608306674619101</v>
      </c>
      <c r="CU140" s="160">
        <v>-4483.7917485265225</v>
      </c>
      <c r="CV140" s="130"/>
      <c r="CW140" s="130"/>
      <c r="CX140" s="130"/>
      <c r="CY140" s="269">
        <v>30.352730904694319</v>
      </c>
      <c r="CZ140" s="125">
        <v>952.3575638506876</v>
      </c>
      <c r="DA140" s="125">
        <v>37.854888746255881</v>
      </c>
      <c r="DB140" s="273">
        <v>9182.7111984282892</v>
      </c>
      <c r="DC140" s="124"/>
      <c r="DD140" s="117">
        <v>5179</v>
      </c>
      <c r="DE140" s="117">
        <v>16518</v>
      </c>
      <c r="DF140" s="117">
        <v>20</v>
      </c>
      <c r="DG140" s="117">
        <v>-11319</v>
      </c>
      <c r="DH140" s="117">
        <v>5850</v>
      </c>
      <c r="DI140" s="117">
        <v>7414</v>
      </c>
      <c r="DJ140" s="136"/>
      <c r="DL140" s="160">
        <v>-46</v>
      </c>
      <c r="DM140" s="160">
        <v>5</v>
      </c>
      <c r="DN140" s="161">
        <v>1904</v>
      </c>
      <c r="DO140" s="116">
        <v>1620</v>
      </c>
      <c r="DP140" s="160">
        <v>0</v>
      </c>
      <c r="DR140" s="161">
        <v>284</v>
      </c>
      <c r="DS140" s="117">
        <v>8</v>
      </c>
      <c r="DT140" s="116">
        <v>8</v>
      </c>
      <c r="DU140" s="116">
        <v>9</v>
      </c>
      <c r="DV140" s="116">
        <v>-14</v>
      </c>
      <c r="DW140" s="160">
        <v>277</v>
      </c>
      <c r="DX140" s="160">
        <v>1818</v>
      </c>
      <c r="DY140" s="116">
        <v>1807</v>
      </c>
      <c r="DZ140" s="150"/>
      <c r="EA140" s="116">
        <v>-125</v>
      </c>
      <c r="EB140" s="116">
        <v>-442</v>
      </c>
      <c r="EC140" s="159">
        <v>410</v>
      </c>
      <c r="EE140" s="125"/>
      <c r="EF140" s="161"/>
      <c r="EG140" s="124"/>
      <c r="EH140" s="253">
        <v>21</v>
      </c>
      <c r="EI140" s="130"/>
      <c r="EJ140" s="125">
        <v>163</v>
      </c>
      <c r="EK140" s="116"/>
      <c r="EL140" s="159"/>
      <c r="EN140" s="116"/>
      <c r="EO140" s="116"/>
      <c r="EP140" s="159"/>
      <c r="EQ140" s="159">
        <v>-2280</v>
      </c>
      <c r="ER140" s="116">
        <v>13</v>
      </c>
      <c r="ES140" s="116">
        <v>204</v>
      </c>
      <c r="ET140" s="160">
        <v>-1195</v>
      </c>
      <c r="EU140" s="116">
        <v>0</v>
      </c>
      <c r="EV140" s="116">
        <v>41</v>
      </c>
      <c r="EW140" s="160">
        <v>-1681</v>
      </c>
      <c r="EX140" s="160">
        <v>21</v>
      </c>
      <c r="EY140" s="160">
        <v>263</v>
      </c>
      <c r="EZ140" s="116">
        <v>1409</v>
      </c>
      <c r="FA140" s="116">
        <v>-9</v>
      </c>
      <c r="FB140" s="116">
        <v>408</v>
      </c>
      <c r="FC140" s="160">
        <v>55</v>
      </c>
      <c r="FD140" s="116">
        <v>753</v>
      </c>
      <c r="FE140" s="116">
        <v>-690</v>
      </c>
      <c r="FF140" s="3">
        <v>9339</v>
      </c>
      <c r="FG140" s="3">
        <v>5148</v>
      </c>
      <c r="FH140" s="3">
        <v>4191</v>
      </c>
      <c r="FI140" s="3">
        <v>1</v>
      </c>
      <c r="FJ140" s="125">
        <v>9239</v>
      </c>
      <c r="FK140" s="160">
        <v>5094</v>
      </c>
      <c r="FL140" s="125">
        <v>4145</v>
      </c>
      <c r="FM140" s="116">
        <v>1</v>
      </c>
      <c r="FN140" s="125">
        <v>8860</v>
      </c>
      <c r="FO140" s="116">
        <v>5471</v>
      </c>
      <c r="FP140" s="116">
        <v>3389</v>
      </c>
      <c r="FQ140" s="116">
        <v>-125</v>
      </c>
      <c r="FR140" s="153">
        <v>0</v>
      </c>
      <c r="FS140" s="153">
        <v>0</v>
      </c>
      <c r="FT140" s="276">
        <v>0</v>
      </c>
      <c r="FU140" s="3">
        <v>151</v>
      </c>
      <c r="FV140" s="159">
        <v>516</v>
      </c>
      <c r="FW140" s="170"/>
      <c r="FZ140" s="155"/>
      <c r="GA140" s="2"/>
      <c r="GD140" s="163"/>
      <c r="GE140" s="2"/>
      <c r="GF140" s="2"/>
    </row>
    <row r="141" spans="1:188" ht="14.5" x14ac:dyDescent="0.35">
      <c r="A141" s="72">
        <v>440</v>
      </c>
      <c r="B141" s="70" t="s">
        <v>137</v>
      </c>
      <c r="C141" s="158">
        <v>5340</v>
      </c>
      <c r="D141" s="171"/>
      <c r="E141" s="128">
        <v>2.7662485746864309</v>
      </c>
      <c r="F141" s="128">
        <v>109.94699832073887</v>
      </c>
      <c r="G141" s="129">
        <v>-5279.9625468164795</v>
      </c>
      <c r="H141" s="216"/>
      <c r="I141" s="172"/>
      <c r="J141" s="218"/>
      <c r="K141" s="128">
        <v>39.242064287145432</v>
      </c>
      <c r="L141" s="129">
        <v>2264.7940074906369</v>
      </c>
      <c r="M141" s="129">
        <v>103.5931193091148</v>
      </c>
      <c r="N141" s="129">
        <v>7979.7752808988771</v>
      </c>
      <c r="O141" s="129"/>
      <c r="P141" s="117">
        <v>9706</v>
      </c>
      <c r="Q141" s="161">
        <v>35420</v>
      </c>
      <c r="R141" s="161">
        <v>0</v>
      </c>
      <c r="S141" s="161">
        <v>-25714</v>
      </c>
      <c r="T141" s="124">
        <v>15056</v>
      </c>
      <c r="U141" s="124">
        <v>13350</v>
      </c>
      <c r="V141" s="136"/>
      <c r="X141" s="116">
        <v>81</v>
      </c>
      <c r="Y141" s="116">
        <v>-377</v>
      </c>
      <c r="Z141" s="161">
        <v>2396</v>
      </c>
      <c r="AA141" s="116">
        <v>2261</v>
      </c>
      <c r="AB141" s="117">
        <v>-2</v>
      </c>
      <c r="AD141" s="161">
        <v>133</v>
      </c>
      <c r="AE141" s="117">
        <v>0</v>
      </c>
      <c r="AF141" s="117">
        <v>94</v>
      </c>
      <c r="AG141" s="116">
        <v>-24</v>
      </c>
      <c r="AH141" s="116">
        <v>0</v>
      </c>
      <c r="AI141" s="160">
        <v>203</v>
      </c>
      <c r="AJ141" s="161">
        <v>17505</v>
      </c>
      <c r="AK141" s="161">
        <v>2304</v>
      </c>
      <c r="AL141" s="150"/>
      <c r="AM141" s="161">
        <v>-234</v>
      </c>
      <c r="AN141" s="161">
        <v>-847</v>
      </c>
      <c r="AO141" s="160">
        <v>-3010</v>
      </c>
      <c r="AQ141" s="160"/>
      <c r="AR141" s="117"/>
      <c r="AS141" s="117"/>
      <c r="AT141" s="99">
        <v>19.5</v>
      </c>
      <c r="AU141" s="130"/>
      <c r="AV141" s="262">
        <v>160</v>
      </c>
      <c r="AW141" s="267">
        <v>5417</v>
      </c>
      <c r="AX141" s="124"/>
      <c r="AY141" s="255">
        <v>3.8291316526610646</v>
      </c>
      <c r="AZ141" s="259">
        <v>113.70750134916352</v>
      </c>
      <c r="BA141" s="160">
        <v>-5422.5586117777366</v>
      </c>
      <c r="BB141" s="130"/>
      <c r="BC141" s="130"/>
      <c r="BD141" s="130"/>
      <c r="BE141" s="128">
        <v>36.54664737367068</v>
      </c>
      <c r="BF141" s="160">
        <v>2405.9442495846406</v>
      </c>
      <c r="BG141" s="129">
        <v>106.60664285024622</v>
      </c>
      <c r="BH141" s="131">
        <v>7647.7755215063689</v>
      </c>
      <c r="BI141" s="124"/>
      <c r="BJ141" s="117">
        <v>10002</v>
      </c>
      <c r="BK141" s="117">
        <v>37482</v>
      </c>
      <c r="BL141" s="161">
        <v>0</v>
      </c>
      <c r="BM141" s="161">
        <v>-27480</v>
      </c>
      <c r="BN141" s="117">
        <v>15769</v>
      </c>
      <c r="BO141" s="117">
        <v>13142</v>
      </c>
      <c r="BP141" s="136"/>
      <c r="BR141" s="160">
        <v>80</v>
      </c>
      <c r="BS141" s="160">
        <v>-182</v>
      </c>
      <c r="BT141" s="161">
        <v>1329</v>
      </c>
      <c r="BU141" s="125">
        <v>2599</v>
      </c>
      <c r="BV141" s="161">
        <v>-2</v>
      </c>
      <c r="BX141" s="161">
        <v>-1272</v>
      </c>
      <c r="BY141" s="161">
        <v>0</v>
      </c>
      <c r="BZ141" s="161">
        <v>65</v>
      </c>
      <c r="CA141" s="160">
        <v>13</v>
      </c>
      <c r="CB141" s="160">
        <v>0</v>
      </c>
      <c r="CC141" s="160">
        <v>-1220</v>
      </c>
      <c r="CD141" s="160">
        <v>16225</v>
      </c>
      <c r="CE141" s="116">
        <v>1460</v>
      </c>
      <c r="CF141" s="150"/>
      <c r="CG141" s="161">
        <v>-290</v>
      </c>
      <c r="CH141" s="160">
        <v>-319</v>
      </c>
      <c r="CI141" s="159">
        <v>-1173</v>
      </c>
      <c r="CK141" s="124"/>
      <c r="CL141" s="161"/>
      <c r="CM141" s="124"/>
      <c r="CN141" s="265">
        <v>19.5</v>
      </c>
      <c r="CO141" s="130"/>
      <c r="CP141" s="116">
        <v>230</v>
      </c>
      <c r="CQ141" s="267">
        <v>5534</v>
      </c>
      <c r="CR141" s="124"/>
      <c r="CS141" s="268">
        <v>8.8713692946058096</v>
      </c>
      <c r="CT141" s="269">
        <v>108.23612417685796</v>
      </c>
      <c r="CU141" s="160">
        <v>-5572.8225514998194</v>
      </c>
      <c r="CV141" s="130"/>
      <c r="CW141" s="130"/>
      <c r="CX141" s="130"/>
      <c r="CY141" s="269">
        <v>36.936804954385032</v>
      </c>
      <c r="CZ141" s="125">
        <v>2483.9176002891218</v>
      </c>
      <c r="DA141" s="125">
        <v>109.69391547694528</v>
      </c>
      <c r="DB141" s="273">
        <v>8265.088543548969</v>
      </c>
      <c r="DC141" s="124"/>
      <c r="DD141" s="117">
        <v>9982</v>
      </c>
      <c r="DE141" s="117">
        <v>37979</v>
      </c>
      <c r="DF141" s="117">
        <v>0</v>
      </c>
      <c r="DG141" s="117">
        <v>-27997</v>
      </c>
      <c r="DH141" s="117">
        <v>17011</v>
      </c>
      <c r="DI141" s="117">
        <v>15527</v>
      </c>
      <c r="DJ141" s="136"/>
      <c r="DL141" s="160">
        <v>70</v>
      </c>
      <c r="DM141" s="160">
        <v>-373</v>
      </c>
      <c r="DN141" s="161">
        <v>4238</v>
      </c>
      <c r="DO141" s="116">
        <v>2501</v>
      </c>
      <c r="DP141" s="161">
        <v>1</v>
      </c>
      <c r="DR141" s="161">
        <v>1738</v>
      </c>
      <c r="DS141" s="117">
        <v>0</v>
      </c>
      <c r="DT141" s="117">
        <v>-87</v>
      </c>
      <c r="DU141" s="116">
        <v>0</v>
      </c>
      <c r="DV141" s="116">
        <v>0</v>
      </c>
      <c r="DW141" s="160">
        <v>1651</v>
      </c>
      <c r="DX141" s="160">
        <v>17281</v>
      </c>
      <c r="DY141" s="116">
        <v>4425</v>
      </c>
      <c r="DZ141" s="150"/>
      <c r="EA141" s="117">
        <v>346</v>
      </c>
      <c r="EB141" s="116">
        <v>-444</v>
      </c>
      <c r="EC141" s="159">
        <v>-1556</v>
      </c>
      <c r="EE141" s="125"/>
      <c r="EF141" s="161"/>
      <c r="EG141" s="124"/>
      <c r="EH141" s="253">
        <v>19.5</v>
      </c>
      <c r="EI141" s="130"/>
      <c r="EJ141" s="125">
        <v>234</v>
      </c>
      <c r="EK141" s="116"/>
      <c r="EL141" s="159"/>
      <c r="EN141" s="116"/>
      <c r="EO141" s="116"/>
      <c r="EP141" s="159"/>
      <c r="EQ141" s="159">
        <v>-5699</v>
      </c>
      <c r="ER141" s="116">
        <v>196</v>
      </c>
      <c r="ES141" s="116">
        <v>189</v>
      </c>
      <c r="ET141" s="160">
        <v>-3074</v>
      </c>
      <c r="EU141" s="116">
        <v>191</v>
      </c>
      <c r="EV141" s="116">
        <v>250</v>
      </c>
      <c r="EW141" s="160">
        <v>-6699</v>
      </c>
      <c r="EX141" s="160">
        <v>482</v>
      </c>
      <c r="EY141" s="160">
        <v>236</v>
      </c>
      <c r="EZ141" s="116">
        <v>257</v>
      </c>
      <c r="FA141" s="116">
        <v>2492</v>
      </c>
      <c r="FB141" s="116">
        <v>1384</v>
      </c>
      <c r="FC141" s="160">
        <v>-125</v>
      </c>
      <c r="FD141" s="116">
        <v>464</v>
      </c>
      <c r="FE141" s="116">
        <v>1824</v>
      </c>
      <c r="FF141" s="3">
        <v>41322</v>
      </c>
      <c r="FG141" s="3">
        <v>11150</v>
      </c>
      <c r="FH141" s="3">
        <v>30172</v>
      </c>
      <c r="FI141" s="3">
        <v>0</v>
      </c>
      <c r="FJ141" s="125">
        <v>43022</v>
      </c>
      <c r="FK141" s="160">
        <v>12548</v>
      </c>
      <c r="FL141" s="125">
        <v>30474</v>
      </c>
      <c r="FM141" s="116">
        <v>0</v>
      </c>
      <c r="FN141" s="125">
        <v>45135</v>
      </c>
      <c r="FO141" s="116">
        <v>12726</v>
      </c>
      <c r="FP141" s="116">
        <v>32409</v>
      </c>
      <c r="FQ141" s="116">
        <v>346</v>
      </c>
      <c r="FR141" s="153">
        <v>0</v>
      </c>
      <c r="FS141" s="153">
        <v>55</v>
      </c>
      <c r="FT141" s="276">
        <v>12</v>
      </c>
      <c r="FU141" s="3">
        <v>154</v>
      </c>
      <c r="FV141" s="159">
        <v>167</v>
      </c>
      <c r="FW141" s="170"/>
      <c r="FZ141" s="155"/>
      <c r="GA141" s="2"/>
      <c r="GD141" s="163"/>
      <c r="GE141" s="2"/>
      <c r="GF141" s="2"/>
    </row>
    <row r="142" spans="1:188" ht="14.5" x14ac:dyDescent="0.35">
      <c r="A142" s="72">
        <v>441</v>
      </c>
      <c r="B142" s="70" t="s">
        <v>138</v>
      </c>
      <c r="C142" s="158">
        <v>4662</v>
      </c>
      <c r="D142" s="171"/>
      <c r="E142" s="128">
        <v>0.30729927007299268</v>
      </c>
      <c r="F142" s="128">
        <v>50.818597296411284</v>
      </c>
      <c r="G142" s="129">
        <v>-2106.6066066066064</v>
      </c>
      <c r="H142" s="216"/>
      <c r="I142" s="172"/>
      <c r="J142" s="218"/>
      <c r="K142" s="128">
        <v>55.179876423172225</v>
      </c>
      <c r="L142" s="129">
        <v>2964.1784641784643</v>
      </c>
      <c r="M142" s="129">
        <v>87.280411835957779</v>
      </c>
      <c r="N142" s="129">
        <v>12395.967395967396</v>
      </c>
      <c r="O142" s="129"/>
      <c r="P142" s="117">
        <v>23540</v>
      </c>
      <c r="Q142" s="161">
        <v>51657</v>
      </c>
      <c r="R142" s="161">
        <v>-40</v>
      </c>
      <c r="S142" s="161">
        <v>-28157</v>
      </c>
      <c r="T142" s="124">
        <v>16301</v>
      </c>
      <c r="U142" s="124">
        <v>12016</v>
      </c>
      <c r="V142" s="136"/>
      <c r="X142" s="116">
        <v>-46</v>
      </c>
      <c r="Y142" s="116">
        <v>152</v>
      </c>
      <c r="Z142" s="161">
        <v>266</v>
      </c>
      <c r="AA142" s="116">
        <v>3297</v>
      </c>
      <c r="AB142" s="116">
        <v>0</v>
      </c>
      <c r="AD142" s="161">
        <v>-3031</v>
      </c>
      <c r="AE142" s="116">
        <v>1</v>
      </c>
      <c r="AF142" s="116">
        <v>3</v>
      </c>
      <c r="AG142" s="116">
        <v>0</v>
      </c>
      <c r="AH142" s="116">
        <v>-11</v>
      </c>
      <c r="AI142" s="160">
        <v>-3038</v>
      </c>
      <c r="AJ142" s="161">
        <v>15904</v>
      </c>
      <c r="AK142" s="161">
        <v>1274</v>
      </c>
      <c r="AL142" s="150"/>
      <c r="AM142" s="161">
        <v>55</v>
      </c>
      <c r="AN142" s="161">
        <v>-1215</v>
      </c>
      <c r="AO142" s="160">
        <v>-2688</v>
      </c>
      <c r="AQ142" s="160"/>
      <c r="AR142" s="117"/>
      <c r="AS142" s="117"/>
      <c r="AT142" s="99">
        <v>20.5</v>
      </c>
      <c r="AU142" s="130"/>
      <c r="AV142" s="262">
        <v>279</v>
      </c>
      <c r="AW142" s="267">
        <v>4636</v>
      </c>
      <c r="AX142" s="124"/>
      <c r="AY142" s="255">
        <v>2.0269989615784008</v>
      </c>
      <c r="AZ142" s="259">
        <v>48.489303552916788</v>
      </c>
      <c r="BA142" s="160">
        <v>-2671.6997411561692</v>
      </c>
      <c r="BB142" s="130"/>
      <c r="BC142" s="130"/>
      <c r="BD142" s="130"/>
      <c r="BE142" s="128">
        <v>55.355450236966824</v>
      </c>
      <c r="BF142" s="160">
        <v>2243.0974978429676</v>
      </c>
      <c r="BG142" s="129">
        <v>87.392317554924105</v>
      </c>
      <c r="BH142" s="131">
        <v>12449.525452976704</v>
      </c>
      <c r="BI142" s="124"/>
      <c r="BJ142" s="117">
        <v>23878</v>
      </c>
      <c r="BK142" s="117">
        <v>52358</v>
      </c>
      <c r="BL142" s="161">
        <v>-45</v>
      </c>
      <c r="BM142" s="161">
        <v>-28525</v>
      </c>
      <c r="BN142" s="117">
        <v>16787</v>
      </c>
      <c r="BO142" s="117">
        <v>12390</v>
      </c>
      <c r="BP142" s="136"/>
      <c r="BR142" s="160">
        <v>-77</v>
      </c>
      <c r="BS142" s="160">
        <v>1268</v>
      </c>
      <c r="BT142" s="161">
        <v>1843</v>
      </c>
      <c r="BU142" s="125">
        <v>3500</v>
      </c>
      <c r="BV142" s="160">
        <v>262</v>
      </c>
      <c r="BX142" s="161">
        <v>-1395</v>
      </c>
      <c r="BY142" s="160">
        <v>31</v>
      </c>
      <c r="BZ142" s="160">
        <v>7</v>
      </c>
      <c r="CA142" s="160">
        <v>0</v>
      </c>
      <c r="CB142" s="160">
        <v>-13</v>
      </c>
      <c r="CC142" s="160">
        <v>-1370</v>
      </c>
      <c r="CD142" s="160">
        <v>14473</v>
      </c>
      <c r="CE142" s="116">
        <v>922</v>
      </c>
      <c r="CF142" s="150"/>
      <c r="CG142" s="161">
        <v>-227</v>
      </c>
      <c r="CH142" s="160">
        <v>-854</v>
      </c>
      <c r="CI142" s="159">
        <v>-2623</v>
      </c>
      <c r="CK142" s="124"/>
      <c r="CL142" s="161"/>
      <c r="CM142" s="124"/>
      <c r="CN142" s="265">
        <v>20.5</v>
      </c>
      <c r="CO142" s="130"/>
      <c r="CP142" s="116">
        <v>163</v>
      </c>
      <c r="CQ142" s="267">
        <v>4543</v>
      </c>
      <c r="CR142" s="124"/>
      <c r="CS142" s="268">
        <v>2.4523026315789473</v>
      </c>
      <c r="CT142" s="269">
        <v>45.988189115598146</v>
      </c>
      <c r="CU142" s="160">
        <v>-2179.176755447942</v>
      </c>
      <c r="CV142" s="130"/>
      <c r="CW142" s="130"/>
      <c r="CX142" s="130"/>
      <c r="CY142" s="269">
        <v>53.68229448516751</v>
      </c>
      <c r="CZ142" s="125">
        <v>2947.6117103235747</v>
      </c>
      <c r="DA142" s="125">
        <v>86.17572904545294</v>
      </c>
      <c r="DB142" s="273">
        <v>12484.701738939028</v>
      </c>
      <c r="DC142" s="124"/>
      <c r="DD142" s="117">
        <v>24814</v>
      </c>
      <c r="DE142" s="117">
        <v>54111</v>
      </c>
      <c r="DF142" s="117">
        <v>-43</v>
      </c>
      <c r="DG142" s="117">
        <v>-29340</v>
      </c>
      <c r="DH142" s="117">
        <v>17465</v>
      </c>
      <c r="DI142" s="117">
        <v>14279</v>
      </c>
      <c r="DJ142" s="136"/>
      <c r="DL142" s="160">
        <v>97</v>
      </c>
      <c r="DM142" s="160">
        <v>361</v>
      </c>
      <c r="DN142" s="161">
        <v>2862</v>
      </c>
      <c r="DO142" s="116">
        <v>3585</v>
      </c>
      <c r="DP142" s="160">
        <v>34</v>
      </c>
      <c r="DR142" s="161">
        <v>-689</v>
      </c>
      <c r="DS142" s="116">
        <v>31</v>
      </c>
      <c r="DT142" s="116">
        <v>4</v>
      </c>
      <c r="DU142" s="116">
        <v>12</v>
      </c>
      <c r="DV142" s="116">
        <v>-13</v>
      </c>
      <c r="DW142" s="160">
        <v>-679</v>
      </c>
      <c r="DX142" s="160">
        <v>13406</v>
      </c>
      <c r="DY142" s="116">
        <v>3053</v>
      </c>
      <c r="DZ142" s="150"/>
      <c r="EA142" s="117">
        <v>221</v>
      </c>
      <c r="EB142" s="116">
        <v>-1096</v>
      </c>
      <c r="EC142" s="159">
        <v>2231</v>
      </c>
      <c r="EE142" s="125"/>
      <c r="EF142" s="161"/>
      <c r="EG142" s="124"/>
      <c r="EH142" s="253">
        <v>20.5</v>
      </c>
      <c r="EI142" s="130"/>
      <c r="EJ142" s="125">
        <v>268</v>
      </c>
      <c r="EK142" s="116"/>
      <c r="EL142" s="159"/>
      <c r="EN142" s="116"/>
      <c r="EO142" s="116"/>
      <c r="EP142" s="159"/>
      <c r="EQ142" s="159">
        <v>-4337</v>
      </c>
      <c r="ER142" s="116">
        <v>36</v>
      </c>
      <c r="ES142" s="116">
        <v>339</v>
      </c>
      <c r="ET142" s="160">
        <v>-4313</v>
      </c>
      <c r="EU142" s="116">
        <v>329</v>
      </c>
      <c r="EV142" s="116">
        <v>439</v>
      </c>
      <c r="EW142" s="160">
        <v>-941</v>
      </c>
      <c r="EX142" s="160">
        <v>74</v>
      </c>
      <c r="EY142" s="160">
        <v>45</v>
      </c>
      <c r="EZ142" s="116">
        <v>1102</v>
      </c>
      <c r="FA142" s="116">
        <v>-39</v>
      </c>
      <c r="FB142" s="116">
        <v>1000</v>
      </c>
      <c r="FC142" s="160">
        <v>-152</v>
      </c>
      <c r="FD142" s="116">
        <v>717</v>
      </c>
      <c r="FE142" s="116">
        <v>435</v>
      </c>
      <c r="FF142" s="3">
        <v>19697</v>
      </c>
      <c r="FG142" s="3">
        <v>18517</v>
      </c>
      <c r="FH142" s="3">
        <v>1180</v>
      </c>
      <c r="FI142" s="3">
        <v>268</v>
      </c>
      <c r="FJ142" s="125">
        <v>19676</v>
      </c>
      <c r="FK142" s="160">
        <v>18671</v>
      </c>
      <c r="FL142" s="125">
        <v>1005</v>
      </c>
      <c r="FM142" s="116">
        <v>268</v>
      </c>
      <c r="FN142" s="125">
        <v>19770</v>
      </c>
      <c r="FO142" s="116">
        <v>18354</v>
      </c>
      <c r="FP142" s="116">
        <v>1416</v>
      </c>
      <c r="FQ142" s="116">
        <v>221</v>
      </c>
      <c r="FR142" s="153">
        <v>2186</v>
      </c>
      <c r="FS142" s="153">
        <v>2170</v>
      </c>
      <c r="FT142" s="276">
        <v>2144</v>
      </c>
      <c r="FU142" s="3">
        <v>3451</v>
      </c>
      <c r="FV142" s="159">
        <v>2992</v>
      </c>
      <c r="FW142" s="170"/>
      <c r="FZ142" s="155"/>
      <c r="GA142" s="2"/>
      <c r="GD142" s="163"/>
      <c r="GE142" s="2"/>
      <c r="GF142" s="2"/>
    </row>
    <row r="143" spans="1:188" ht="14.5" x14ac:dyDescent="0.35">
      <c r="A143" s="72">
        <v>475</v>
      </c>
      <c r="B143" s="70" t="s">
        <v>140</v>
      </c>
      <c r="C143" s="158">
        <v>5477</v>
      </c>
      <c r="D143" s="171"/>
      <c r="E143" s="128">
        <v>1.0063872255489021</v>
      </c>
      <c r="F143" s="128">
        <v>69.089804596537405</v>
      </c>
      <c r="G143" s="129">
        <v>-6630.2720467409163</v>
      </c>
      <c r="H143" s="216"/>
      <c r="I143" s="172"/>
      <c r="J143" s="218"/>
      <c r="K143" s="128">
        <v>33.641889167984615</v>
      </c>
      <c r="L143" s="129">
        <v>309.65857221106444</v>
      </c>
      <c r="M143" s="129">
        <v>9.3106923157910568</v>
      </c>
      <c r="N143" s="129">
        <v>12139.309841153918</v>
      </c>
      <c r="O143" s="129"/>
      <c r="P143" s="117">
        <v>23754</v>
      </c>
      <c r="Q143" s="161">
        <v>56751</v>
      </c>
      <c r="R143" s="161">
        <v>-9</v>
      </c>
      <c r="S143" s="161">
        <v>-33006</v>
      </c>
      <c r="T143" s="124">
        <v>19062</v>
      </c>
      <c r="U143" s="124">
        <v>16446</v>
      </c>
      <c r="V143" s="136"/>
      <c r="X143" s="116">
        <v>-142</v>
      </c>
      <c r="Y143" s="116">
        <v>13</v>
      </c>
      <c r="Z143" s="161">
        <v>2373</v>
      </c>
      <c r="AA143" s="116">
        <v>2852</v>
      </c>
      <c r="AB143" s="116">
        <v>0</v>
      </c>
      <c r="AD143" s="161">
        <v>-479</v>
      </c>
      <c r="AE143" s="117">
        <v>15</v>
      </c>
      <c r="AF143" s="117">
        <v>11</v>
      </c>
      <c r="AG143" s="116">
        <v>-19</v>
      </c>
      <c r="AH143" s="116">
        <v>0</v>
      </c>
      <c r="AI143" s="160">
        <v>-472</v>
      </c>
      <c r="AJ143" s="161">
        <v>5184</v>
      </c>
      <c r="AK143" s="161">
        <v>2074</v>
      </c>
      <c r="AL143" s="150"/>
      <c r="AM143" s="161">
        <v>-385</v>
      </c>
      <c r="AN143" s="161">
        <v>-2357</v>
      </c>
      <c r="AO143" s="160">
        <v>-4026</v>
      </c>
      <c r="AQ143" s="160"/>
      <c r="AR143" s="117"/>
      <c r="AS143" s="117"/>
      <c r="AT143" s="99">
        <v>21.5</v>
      </c>
      <c r="AU143" s="130"/>
      <c r="AV143" s="262">
        <v>169</v>
      </c>
      <c r="AW143" s="267">
        <v>5475</v>
      </c>
      <c r="AX143" s="124"/>
      <c r="AY143" s="255">
        <v>0.74485759493670889</v>
      </c>
      <c r="AZ143" s="259">
        <v>78.625853698675229</v>
      </c>
      <c r="BA143" s="160">
        <v>-7800</v>
      </c>
      <c r="BB143" s="130"/>
      <c r="BC143" s="130"/>
      <c r="BD143" s="130"/>
      <c r="BE143" s="128">
        <v>29.348967945259929</v>
      </c>
      <c r="BF143" s="160">
        <v>297.89954337899542</v>
      </c>
      <c r="BG143" s="129">
        <v>8.857373696929832</v>
      </c>
      <c r="BH143" s="131">
        <v>12772.785388127853</v>
      </c>
      <c r="BI143" s="124"/>
      <c r="BJ143" s="117">
        <v>24533</v>
      </c>
      <c r="BK143" s="117">
        <v>58923</v>
      </c>
      <c r="BL143" s="161">
        <v>-10</v>
      </c>
      <c r="BM143" s="161">
        <v>-34400</v>
      </c>
      <c r="BN143" s="117">
        <v>20116</v>
      </c>
      <c r="BO143" s="117">
        <v>16116</v>
      </c>
      <c r="BP143" s="136"/>
      <c r="BR143" s="160">
        <v>-152</v>
      </c>
      <c r="BS143" s="160">
        <v>46</v>
      </c>
      <c r="BT143" s="161">
        <v>1726</v>
      </c>
      <c r="BU143" s="125">
        <v>2978</v>
      </c>
      <c r="BV143" s="160">
        <v>0</v>
      </c>
      <c r="BX143" s="161">
        <v>-1252</v>
      </c>
      <c r="BY143" s="161">
        <v>-1</v>
      </c>
      <c r="BZ143" s="161">
        <v>9</v>
      </c>
      <c r="CA143" s="160">
        <v>24</v>
      </c>
      <c r="CB143" s="160">
        <v>4</v>
      </c>
      <c r="CC143" s="160">
        <v>-1264</v>
      </c>
      <c r="CD143" s="160">
        <v>4052</v>
      </c>
      <c r="CE143" s="116">
        <v>1652</v>
      </c>
      <c r="CF143" s="150"/>
      <c r="CG143" s="161">
        <v>-508</v>
      </c>
      <c r="CH143" s="160">
        <v>-2371</v>
      </c>
      <c r="CI143" s="159">
        <v>-6383</v>
      </c>
      <c r="CK143" s="124"/>
      <c r="CL143" s="161"/>
      <c r="CM143" s="124"/>
      <c r="CN143" s="265">
        <v>21.5</v>
      </c>
      <c r="CO143" s="130"/>
      <c r="CP143" s="116">
        <v>203</v>
      </c>
      <c r="CQ143" s="267">
        <v>5451</v>
      </c>
      <c r="CR143" s="124"/>
      <c r="CS143" s="268">
        <v>1.9171042760690173</v>
      </c>
      <c r="CT143" s="269">
        <v>78.28303002220909</v>
      </c>
      <c r="CU143" s="160">
        <v>-7620.9869748669971</v>
      </c>
      <c r="CV143" s="130"/>
      <c r="CW143" s="130"/>
      <c r="CX143" s="130"/>
      <c r="CY143" s="269">
        <v>31.353797664426274</v>
      </c>
      <c r="CZ143" s="125">
        <v>854.33865345808113</v>
      </c>
      <c r="DA143" s="125">
        <v>24.95126605504587</v>
      </c>
      <c r="DB143" s="273">
        <v>12497.706842781141</v>
      </c>
      <c r="DC143" s="124"/>
      <c r="DD143" s="117">
        <v>24445</v>
      </c>
      <c r="DE143" s="117">
        <v>57548</v>
      </c>
      <c r="DF143" s="117">
        <v>-15</v>
      </c>
      <c r="DG143" s="117">
        <v>-33118</v>
      </c>
      <c r="DH143" s="117">
        <v>20129</v>
      </c>
      <c r="DI143" s="117">
        <v>18013</v>
      </c>
      <c r="DJ143" s="136"/>
      <c r="DL143" s="160">
        <v>-147</v>
      </c>
      <c r="DM143" s="160">
        <v>78</v>
      </c>
      <c r="DN143" s="161">
        <v>4955</v>
      </c>
      <c r="DO143" s="116">
        <v>3195</v>
      </c>
      <c r="DP143" s="160">
        <v>1812</v>
      </c>
      <c r="DR143" s="161">
        <v>3572</v>
      </c>
      <c r="DS143" s="117">
        <v>-6</v>
      </c>
      <c r="DT143" s="117">
        <v>0</v>
      </c>
      <c r="DU143" s="116">
        <v>8</v>
      </c>
      <c r="DV143" s="116">
        <v>-13</v>
      </c>
      <c r="DW143" s="160">
        <v>3545</v>
      </c>
      <c r="DX143" s="160">
        <v>6715</v>
      </c>
      <c r="DY143" s="116">
        <v>5411</v>
      </c>
      <c r="DZ143" s="150"/>
      <c r="EA143" s="117">
        <v>645</v>
      </c>
      <c r="EB143" s="116">
        <v>-2510</v>
      </c>
      <c r="EC143" s="159">
        <v>1190</v>
      </c>
      <c r="EE143" s="125"/>
      <c r="EF143" s="161"/>
      <c r="EG143" s="124"/>
      <c r="EH143" s="253">
        <v>21.5</v>
      </c>
      <c r="EI143" s="130"/>
      <c r="EJ143" s="125">
        <v>187</v>
      </c>
      <c r="EK143" s="116"/>
      <c r="EL143" s="159"/>
      <c r="EN143" s="116"/>
      <c r="EO143" s="116"/>
      <c r="EP143" s="159"/>
      <c r="EQ143" s="159">
        <v>-7195</v>
      </c>
      <c r="ER143" s="116">
        <v>742</v>
      </c>
      <c r="ES143" s="116">
        <v>353</v>
      </c>
      <c r="ET143" s="160">
        <v>-8452</v>
      </c>
      <c r="EU143" s="116">
        <v>265</v>
      </c>
      <c r="EV143" s="116">
        <v>152</v>
      </c>
      <c r="EW143" s="160">
        <v>-7884</v>
      </c>
      <c r="EX143" s="160">
        <v>1804</v>
      </c>
      <c r="EY143" s="160">
        <v>1859</v>
      </c>
      <c r="EZ143" s="116">
        <v>10750</v>
      </c>
      <c r="FA143" s="116">
        <v>-4563</v>
      </c>
      <c r="FB143" s="116">
        <v>198</v>
      </c>
      <c r="FC143" s="160">
        <v>8441</v>
      </c>
      <c r="FD143" s="116">
        <v>5669</v>
      </c>
      <c r="FE143" s="116">
        <v>-2094</v>
      </c>
      <c r="FF143" s="3">
        <v>29590</v>
      </c>
      <c r="FG143" s="3">
        <v>24797</v>
      </c>
      <c r="FH143" s="3">
        <v>4793</v>
      </c>
      <c r="FI143" s="3">
        <v>27</v>
      </c>
      <c r="FJ143" s="125">
        <v>35858</v>
      </c>
      <c r="FK143" s="160">
        <v>22625</v>
      </c>
      <c r="FL143" s="125">
        <v>13233</v>
      </c>
      <c r="FM143" s="116">
        <v>3</v>
      </c>
      <c r="FN143" s="125">
        <v>36923</v>
      </c>
      <c r="FO143" s="116">
        <v>25784</v>
      </c>
      <c r="FP143" s="116">
        <v>11139</v>
      </c>
      <c r="FQ143" s="116">
        <v>645</v>
      </c>
      <c r="FR143" s="153">
        <v>1033</v>
      </c>
      <c r="FS143" s="153">
        <v>1033</v>
      </c>
      <c r="FT143" s="276">
        <v>952</v>
      </c>
      <c r="FU143" s="3">
        <v>983</v>
      </c>
      <c r="FV143" s="159">
        <v>999</v>
      </c>
      <c r="FW143" s="170"/>
      <c r="FZ143" s="155"/>
      <c r="GA143" s="2"/>
      <c r="GD143" s="163"/>
      <c r="GE143" s="2"/>
      <c r="GF143" s="2"/>
    </row>
    <row r="144" spans="1:188" ht="14.5" x14ac:dyDescent="0.35">
      <c r="A144" s="72">
        <v>480</v>
      </c>
      <c r="B144" s="70" t="s">
        <v>141</v>
      </c>
      <c r="C144" s="158">
        <v>2018</v>
      </c>
      <c r="D144" s="171"/>
      <c r="E144" s="128">
        <v>1.5336048879837068</v>
      </c>
      <c r="F144" s="128">
        <v>32.214647788848104</v>
      </c>
      <c r="G144" s="129">
        <v>-1893.9544103072351</v>
      </c>
      <c r="H144" s="216"/>
      <c r="I144" s="172"/>
      <c r="J144" s="218"/>
      <c r="K144" s="128">
        <v>58.383358927823537</v>
      </c>
      <c r="L144" s="129">
        <v>404.85629335976216</v>
      </c>
      <c r="M144" s="129">
        <v>17.037365023138889</v>
      </c>
      <c r="N144" s="129">
        <v>8673.4390485629337</v>
      </c>
      <c r="O144" s="129"/>
      <c r="P144" s="117">
        <v>6415</v>
      </c>
      <c r="Q144" s="161">
        <v>16416</v>
      </c>
      <c r="R144" s="161">
        <v>0</v>
      </c>
      <c r="S144" s="161">
        <v>-10001</v>
      </c>
      <c r="T144" s="124">
        <v>6243</v>
      </c>
      <c r="U144" s="124">
        <v>4505</v>
      </c>
      <c r="V144" s="136"/>
      <c r="X144" s="116">
        <v>-35</v>
      </c>
      <c r="Y144" s="116">
        <v>3</v>
      </c>
      <c r="Z144" s="161">
        <v>715</v>
      </c>
      <c r="AA144" s="116">
        <v>710</v>
      </c>
      <c r="AB144" s="116">
        <v>0</v>
      </c>
      <c r="AD144" s="161">
        <v>5</v>
      </c>
      <c r="AE144" s="117">
        <v>0</v>
      </c>
      <c r="AF144" s="117">
        <v>7</v>
      </c>
      <c r="AG144" s="116">
        <v>0</v>
      </c>
      <c r="AH144" s="116">
        <v>0</v>
      </c>
      <c r="AI144" s="160">
        <v>12</v>
      </c>
      <c r="AJ144" s="161">
        <v>3499</v>
      </c>
      <c r="AK144" s="161">
        <v>699</v>
      </c>
      <c r="AL144" s="150"/>
      <c r="AM144" s="161">
        <v>53</v>
      </c>
      <c r="AN144" s="161">
        <v>-453</v>
      </c>
      <c r="AO144" s="160">
        <v>433</v>
      </c>
      <c r="AQ144" s="160"/>
      <c r="AR144" s="117"/>
      <c r="AS144" s="117"/>
      <c r="AT144" s="99">
        <v>20.75</v>
      </c>
      <c r="AU144" s="130"/>
      <c r="AV144" s="262">
        <v>196</v>
      </c>
      <c r="AW144" s="267">
        <v>2013</v>
      </c>
      <c r="AX144" s="124"/>
      <c r="AY144" s="255">
        <v>20.142857142857142</v>
      </c>
      <c r="AZ144" s="259">
        <v>39.151076696998814</v>
      </c>
      <c r="BA144" s="160">
        <v>-1822.1559860904124</v>
      </c>
      <c r="BB144" s="130"/>
      <c r="BC144" s="130"/>
      <c r="BD144" s="130"/>
      <c r="BE144" s="128">
        <v>52.953492798680287</v>
      </c>
      <c r="BF144" s="160">
        <v>1094.8832588176851</v>
      </c>
      <c r="BG144" s="129">
        <v>16.841079798949568</v>
      </c>
      <c r="BH144" s="131">
        <v>8796.3238946845504</v>
      </c>
      <c r="BI144" s="124"/>
      <c r="BJ144" s="117">
        <v>6488</v>
      </c>
      <c r="BK144" s="117">
        <v>16995</v>
      </c>
      <c r="BL144" s="161">
        <v>0</v>
      </c>
      <c r="BM144" s="161">
        <v>-10507</v>
      </c>
      <c r="BN144" s="117">
        <v>6671</v>
      </c>
      <c r="BO144" s="117">
        <v>4534</v>
      </c>
      <c r="BP144" s="136"/>
      <c r="BR144" s="160">
        <v>-32</v>
      </c>
      <c r="BS144" s="160">
        <v>4</v>
      </c>
      <c r="BT144" s="161">
        <v>670</v>
      </c>
      <c r="BU144" s="125">
        <v>702</v>
      </c>
      <c r="BV144" s="160">
        <v>0</v>
      </c>
      <c r="BX144" s="161">
        <v>-32</v>
      </c>
      <c r="BY144" s="161">
        <v>0</v>
      </c>
      <c r="BZ144" s="160">
        <v>4</v>
      </c>
      <c r="CA144" s="160">
        <v>0</v>
      </c>
      <c r="CB144" s="160">
        <v>0</v>
      </c>
      <c r="CC144" s="160">
        <v>-28</v>
      </c>
      <c r="CD144" s="160">
        <v>3481</v>
      </c>
      <c r="CE144" s="116">
        <v>667</v>
      </c>
      <c r="CF144" s="150"/>
      <c r="CG144" s="161">
        <v>-227</v>
      </c>
      <c r="CH144" s="160">
        <v>0</v>
      </c>
      <c r="CI144" s="159">
        <v>49</v>
      </c>
      <c r="CK144" s="124"/>
      <c r="CL144" s="161"/>
      <c r="CM144" s="124"/>
      <c r="CN144" s="265">
        <v>20.75</v>
      </c>
      <c r="CO144" s="130"/>
      <c r="CP144" s="116">
        <v>196</v>
      </c>
      <c r="CQ144" s="267">
        <v>1999</v>
      </c>
      <c r="CR144" s="124"/>
      <c r="CS144" s="268">
        <v>43.588235294117645</v>
      </c>
      <c r="CT144" s="269">
        <v>36.274563170213924</v>
      </c>
      <c r="CU144" s="160">
        <v>-1590.2951475737871</v>
      </c>
      <c r="CV144" s="130"/>
      <c r="CW144" s="130"/>
      <c r="CX144" s="130"/>
      <c r="CY144" s="269">
        <v>55.854518463536834</v>
      </c>
      <c r="CZ144" s="125">
        <v>1239.6198099049525</v>
      </c>
      <c r="DA144" s="125">
        <v>50.602551191675062</v>
      </c>
      <c r="DB144" s="273">
        <v>8941.470735367684</v>
      </c>
      <c r="DC144" s="124"/>
      <c r="DD144" s="117">
        <v>6582</v>
      </c>
      <c r="DE144" s="117">
        <v>16897</v>
      </c>
      <c r="DF144" s="117">
        <v>0</v>
      </c>
      <c r="DG144" s="117">
        <v>-10315</v>
      </c>
      <c r="DH144" s="117">
        <v>6754</v>
      </c>
      <c r="DI144" s="117">
        <v>5035</v>
      </c>
      <c r="DJ144" s="136"/>
      <c r="DL144" s="160">
        <v>-31</v>
      </c>
      <c r="DM144" s="160">
        <v>5</v>
      </c>
      <c r="DN144" s="161">
        <v>1448</v>
      </c>
      <c r="DO144" s="116">
        <v>780</v>
      </c>
      <c r="DP144" s="160">
        <v>0</v>
      </c>
      <c r="DR144" s="161">
        <v>668</v>
      </c>
      <c r="DS144" s="117">
        <v>0</v>
      </c>
      <c r="DT144" s="116">
        <v>-243</v>
      </c>
      <c r="DU144" s="116">
        <v>0</v>
      </c>
      <c r="DV144" s="116">
        <v>0</v>
      </c>
      <c r="DW144" s="160">
        <v>425</v>
      </c>
      <c r="DX144" s="160">
        <v>4165</v>
      </c>
      <c r="DY144" s="116">
        <v>1389</v>
      </c>
      <c r="DZ144" s="150"/>
      <c r="EA144" s="117">
        <v>47</v>
      </c>
      <c r="EB144" s="116">
        <v>0</v>
      </c>
      <c r="EC144" s="159">
        <v>540</v>
      </c>
      <c r="EE144" s="125"/>
      <c r="EF144" s="161"/>
      <c r="EG144" s="124"/>
      <c r="EH144" s="253">
        <v>20.75</v>
      </c>
      <c r="EI144" s="130"/>
      <c r="EJ144" s="125">
        <v>253</v>
      </c>
      <c r="EK144" s="116"/>
      <c r="EL144" s="159"/>
      <c r="EN144" s="116"/>
      <c r="EO144" s="116"/>
      <c r="EP144" s="159"/>
      <c r="EQ144" s="159">
        <v>-595</v>
      </c>
      <c r="ER144" s="116">
        <v>281</v>
      </c>
      <c r="ES144" s="116">
        <v>48</v>
      </c>
      <c r="ET144" s="160">
        <v>-676</v>
      </c>
      <c r="EU144" s="116">
        <v>40</v>
      </c>
      <c r="EV144" s="116">
        <v>18</v>
      </c>
      <c r="EW144" s="160">
        <v>-943</v>
      </c>
      <c r="EX144" s="160">
        <v>13</v>
      </c>
      <c r="EY144" s="160">
        <v>81</v>
      </c>
      <c r="EZ144" s="116">
        <v>0</v>
      </c>
      <c r="FA144" s="116">
        <v>0</v>
      </c>
      <c r="FB144" s="116">
        <v>0</v>
      </c>
      <c r="FC144" s="160">
        <v>986</v>
      </c>
      <c r="FD144" s="116">
        <v>0</v>
      </c>
      <c r="FE144" s="116">
        <v>-576</v>
      </c>
      <c r="FF144" s="3">
        <v>3098</v>
      </c>
      <c r="FG144" s="3">
        <v>2784</v>
      </c>
      <c r="FH144" s="3">
        <v>314</v>
      </c>
      <c r="FI144" s="3">
        <v>1</v>
      </c>
      <c r="FJ144" s="125">
        <v>4084</v>
      </c>
      <c r="FK144" s="160">
        <v>3578</v>
      </c>
      <c r="FL144" s="125">
        <v>506</v>
      </c>
      <c r="FM144" s="116">
        <v>0</v>
      </c>
      <c r="FN144" s="125">
        <v>3508</v>
      </c>
      <c r="FO144" s="116">
        <v>2903</v>
      </c>
      <c r="FP144" s="116">
        <v>605</v>
      </c>
      <c r="FQ144" s="116">
        <v>47</v>
      </c>
      <c r="FR144" s="153">
        <v>0</v>
      </c>
      <c r="FS144" s="153">
        <v>0</v>
      </c>
      <c r="FT144" s="276">
        <v>0</v>
      </c>
      <c r="FU144" s="3">
        <v>777</v>
      </c>
      <c r="FV144" s="159">
        <v>896</v>
      </c>
      <c r="FW144" s="170"/>
      <c r="FZ144" s="155"/>
      <c r="GA144" s="2"/>
      <c r="GD144" s="163"/>
      <c r="GE144" s="2"/>
      <c r="GF144" s="2"/>
    </row>
    <row r="145" spans="1:188" ht="14.5" x14ac:dyDescent="0.35">
      <c r="A145" s="72">
        <v>481</v>
      </c>
      <c r="B145" s="70" t="s">
        <v>142</v>
      </c>
      <c r="C145" s="158">
        <v>9554</v>
      </c>
      <c r="D145" s="171"/>
      <c r="E145" s="128">
        <v>1.1242877492877492</v>
      </c>
      <c r="F145" s="128">
        <v>75.231321891215217</v>
      </c>
      <c r="G145" s="129">
        <v>-5518.0029307096511</v>
      </c>
      <c r="H145" s="216"/>
      <c r="I145" s="172"/>
      <c r="J145" s="218"/>
      <c r="K145" s="128">
        <v>24.529833904498073</v>
      </c>
      <c r="L145" s="129">
        <v>506.1754239062173</v>
      </c>
      <c r="M145" s="129">
        <v>19.273032996309482</v>
      </c>
      <c r="N145" s="129">
        <v>9586.1419300816415</v>
      </c>
      <c r="O145" s="129"/>
      <c r="P145" s="117">
        <v>33154</v>
      </c>
      <c r="Q145" s="161">
        <v>79578</v>
      </c>
      <c r="R145" s="161">
        <v>2</v>
      </c>
      <c r="S145" s="161">
        <v>-46422</v>
      </c>
      <c r="T145" s="124">
        <v>40329</v>
      </c>
      <c r="U145" s="124">
        <v>9194</v>
      </c>
      <c r="V145" s="136"/>
      <c r="X145" s="116">
        <v>-170</v>
      </c>
      <c r="Y145" s="116">
        <v>55</v>
      </c>
      <c r="Z145" s="161">
        <v>2986</v>
      </c>
      <c r="AA145" s="116">
        <v>3983</v>
      </c>
      <c r="AB145" s="116">
        <v>0</v>
      </c>
      <c r="AD145" s="161">
        <v>-997</v>
      </c>
      <c r="AE145" s="116">
        <v>6</v>
      </c>
      <c r="AF145" s="116">
        <v>0</v>
      </c>
      <c r="AG145" s="116">
        <v>-8</v>
      </c>
      <c r="AH145" s="116">
        <v>24</v>
      </c>
      <c r="AI145" s="160">
        <v>-975</v>
      </c>
      <c r="AJ145" s="161">
        <v>-545</v>
      </c>
      <c r="AK145" s="161">
        <v>2740</v>
      </c>
      <c r="AL145" s="150"/>
      <c r="AM145" s="161">
        <v>115</v>
      </c>
      <c r="AN145" s="161">
        <v>-2637</v>
      </c>
      <c r="AO145" s="160">
        <v>-5962</v>
      </c>
      <c r="AQ145" s="160"/>
      <c r="AR145" s="117"/>
      <c r="AS145" s="117"/>
      <c r="AT145" s="99">
        <v>20.75</v>
      </c>
      <c r="AU145" s="130"/>
      <c r="AV145" s="262">
        <v>211</v>
      </c>
      <c r="AW145" s="267">
        <v>9534</v>
      </c>
      <c r="AX145" s="124"/>
      <c r="AY145" s="255">
        <v>0.83652007648183557</v>
      </c>
      <c r="AZ145" s="259">
        <v>84.764860348531869</v>
      </c>
      <c r="BA145" s="160">
        <v>-6250.0524438850425</v>
      </c>
      <c r="BB145" s="130"/>
      <c r="BC145" s="130"/>
      <c r="BD145" s="130"/>
      <c r="BE145" s="128">
        <v>21.244394007180034</v>
      </c>
      <c r="BF145" s="160">
        <v>665.72267673589261</v>
      </c>
      <c r="BG145" s="129">
        <v>19.217846683142984</v>
      </c>
      <c r="BH145" s="131">
        <v>9633.8367946297458</v>
      </c>
      <c r="BI145" s="124"/>
      <c r="BJ145" s="117">
        <v>34500</v>
      </c>
      <c r="BK145" s="117">
        <v>81265</v>
      </c>
      <c r="BL145" s="161">
        <v>13</v>
      </c>
      <c r="BM145" s="161">
        <v>-46752</v>
      </c>
      <c r="BN145" s="117">
        <v>40315</v>
      </c>
      <c r="BO145" s="117">
        <v>8965</v>
      </c>
      <c r="BP145" s="136"/>
      <c r="BR145" s="160">
        <v>-201</v>
      </c>
      <c r="BS145" s="160">
        <v>91</v>
      </c>
      <c r="BT145" s="161">
        <v>2418</v>
      </c>
      <c r="BU145" s="125">
        <v>3977</v>
      </c>
      <c r="BV145" s="160">
        <v>0</v>
      </c>
      <c r="BX145" s="161">
        <v>-1559</v>
      </c>
      <c r="BY145" s="160">
        <v>0</v>
      </c>
      <c r="BZ145" s="160">
        <v>0</v>
      </c>
      <c r="CA145" s="160">
        <v>0</v>
      </c>
      <c r="CB145" s="160">
        <v>0</v>
      </c>
      <c r="CC145" s="160">
        <v>-1559</v>
      </c>
      <c r="CD145" s="160">
        <v>-1221</v>
      </c>
      <c r="CE145" s="116">
        <v>1722</v>
      </c>
      <c r="CF145" s="150"/>
      <c r="CG145" s="160">
        <v>-437</v>
      </c>
      <c r="CH145" s="160">
        <v>-2931</v>
      </c>
      <c r="CI145" s="159">
        <v>-4502</v>
      </c>
      <c r="CK145" s="124"/>
      <c r="CL145" s="161"/>
      <c r="CM145" s="124"/>
      <c r="CN145" s="265">
        <v>20.75</v>
      </c>
      <c r="CO145" s="130"/>
      <c r="CP145" s="116">
        <v>226</v>
      </c>
      <c r="CQ145" s="267">
        <v>9543</v>
      </c>
      <c r="CR145" s="124"/>
      <c r="CS145" s="268">
        <v>2.3807288790723358</v>
      </c>
      <c r="CT145" s="269">
        <v>72.755099785621141</v>
      </c>
      <c r="CU145" s="160">
        <v>-5615.7392853400397</v>
      </c>
      <c r="CV145" s="130"/>
      <c r="CW145" s="130"/>
      <c r="CX145" s="130"/>
      <c r="CY145" s="269">
        <v>25.61305785490779</v>
      </c>
      <c r="CZ145" s="125">
        <v>782.8775018338049</v>
      </c>
      <c r="DA145" s="125">
        <v>31.368729222026666</v>
      </c>
      <c r="DB145" s="273">
        <v>9109.3995598868278</v>
      </c>
      <c r="DC145" s="124"/>
      <c r="DD145" s="117">
        <v>35511</v>
      </c>
      <c r="DE145" s="117">
        <v>82042</v>
      </c>
      <c r="DF145" s="117">
        <v>16</v>
      </c>
      <c r="DG145" s="117">
        <v>-46515</v>
      </c>
      <c r="DH145" s="117">
        <v>43242</v>
      </c>
      <c r="DI145" s="117">
        <v>11741</v>
      </c>
      <c r="DJ145" s="136"/>
      <c r="DL145" s="160">
        <v>-150</v>
      </c>
      <c r="DM145" s="160">
        <v>103</v>
      </c>
      <c r="DN145" s="161">
        <v>8421</v>
      </c>
      <c r="DO145" s="116">
        <v>4855</v>
      </c>
      <c r="DP145" s="160">
        <v>100</v>
      </c>
      <c r="DR145" s="161">
        <v>3666</v>
      </c>
      <c r="DS145" s="116">
        <v>-4</v>
      </c>
      <c r="DT145" s="116">
        <v>0</v>
      </c>
      <c r="DU145" s="116">
        <v>36</v>
      </c>
      <c r="DV145" s="116">
        <v>2</v>
      </c>
      <c r="DW145" s="160">
        <v>3628</v>
      </c>
      <c r="DX145" s="160">
        <v>2699</v>
      </c>
      <c r="DY145" s="116">
        <v>7847</v>
      </c>
      <c r="DZ145" s="150"/>
      <c r="EA145" s="116">
        <v>304</v>
      </c>
      <c r="EB145" s="116">
        <v>-3420</v>
      </c>
      <c r="EC145" s="159">
        <v>7717</v>
      </c>
      <c r="EE145" s="125"/>
      <c r="EF145" s="161"/>
      <c r="EG145" s="124"/>
      <c r="EH145" s="253">
        <v>20.75</v>
      </c>
      <c r="EI145" s="130"/>
      <c r="EJ145" s="125">
        <v>197</v>
      </c>
      <c r="EK145" s="116"/>
      <c r="EL145" s="159"/>
      <c r="EN145" s="116"/>
      <c r="EO145" s="116"/>
      <c r="EP145" s="159"/>
      <c r="EQ145" s="159">
        <v>-9171</v>
      </c>
      <c r="ER145" s="116">
        <v>52</v>
      </c>
      <c r="ES145" s="116">
        <v>417</v>
      </c>
      <c r="ET145" s="160">
        <v>-7434</v>
      </c>
      <c r="EU145" s="116">
        <v>13</v>
      </c>
      <c r="EV145" s="116">
        <v>1197</v>
      </c>
      <c r="EW145" s="160">
        <v>-1252</v>
      </c>
      <c r="EX145" s="160">
        <v>239</v>
      </c>
      <c r="EY145" s="160">
        <v>883</v>
      </c>
      <c r="EZ145" s="116">
        <v>7604</v>
      </c>
      <c r="FA145" s="116">
        <v>0</v>
      </c>
      <c r="FB145" s="116">
        <v>8892</v>
      </c>
      <c r="FC145" s="160">
        <v>0</v>
      </c>
      <c r="FD145" s="116">
        <v>-4867</v>
      </c>
      <c r="FE145" s="116">
        <v>0</v>
      </c>
      <c r="FF145" s="3">
        <v>47417</v>
      </c>
      <c r="FG145" s="3">
        <v>21424</v>
      </c>
      <c r="FH145" s="3">
        <v>25993</v>
      </c>
      <c r="FI145" s="3">
        <v>0</v>
      </c>
      <c r="FJ145" s="125">
        <v>56308</v>
      </c>
      <c r="FK145" s="160">
        <v>23809</v>
      </c>
      <c r="FL145" s="125">
        <v>32499</v>
      </c>
      <c r="FM145" s="116">
        <v>192</v>
      </c>
      <c r="FN145" s="125">
        <v>50701</v>
      </c>
      <c r="FO145" s="116">
        <v>21640</v>
      </c>
      <c r="FP145" s="116">
        <v>29061</v>
      </c>
      <c r="FQ145" s="116">
        <v>304</v>
      </c>
      <c r="FR145" s="153">
        <v>452</v>
      </c>
      <c r="FS145" s="153">
        <v>1247</v>
      </c>
      <c r="FT145" s="276">
        <v>1071</v>
      </c>
      <c r="FU145" s="3">
        <v>5291</v>
      </c>
      <c r="FV145" s="159">
        <v>6362</v>
      </c>
      <c r="FW145" s="170"/>
      <c r="FZ145" s="155"/>
      <c r="GA145" s="2"/>
      <c r="GD145" s="163"/>
      <c r="GE145" s="2"/>
      <c r="GF145" s="2"/>
    </row>
    <row r="146" spans="1:188" ht="14.5" x14ac:dyDescent="0.35">
      <c r="A146" s="72">
        <v>483</v>
      </c>
      <c r="B146" s="70" t="s">
        <v>143</v>
      </c>
      <c r="C146" s="158">
        <v>1104</v>
      </c>
      <c r="D146" s="171"/>
      <c r="E146" s="128">
        <v>0.47928994082840237</v>
      </c>
      <c r="F146" s="128">
        <v>50.840846047156724</v>
      </c>
      <c r="G146" s="129">
        <v>-2074.275362318841</v>
      </c>
      <c r="H146" s="216"/>
      <c r="I146" s="172"/>
      <c r="J146" s="218"/>
      <c r="K146" s="128">
        <v>52.866785631158351</v>
      </c>
      <c r="L146" s="129">
        <v>2746.376811594203</v>
      </c>
      <c r="M146" s="129">
        <v>82.415847482871612</v>
      </c>
      <c r="N146" s="129">
        <v>12163.04347826087</v>
      </c>
      <c r="O146" s="129"/>
      <c r="P146" s="117">
        <v>4465</v>
      </c>
      <c r="Q146" s="161">
        <v>11361</v>
      </c>
      <c r="R146" s="161">
        <v>12</v>
      </c>
      <c r="S146" s="161">
        <v>-6884</v>
      </c>
      <c r="T146" s="124">
        <v>2578</v>
      </c>
      <c r="U146" s="124">
        <v>4493</v>
      </c>
      <c r="V146" s="136"/>
      <c r="X146" s="116">
        <v>-22</v>
      </c>
      <c r="Y146" s="116">
        <v>55</v>
      </c>
      <c r="Z146" s="161">
        <v>220</v>
      </c>
      <c r="AA146" s="116">
        <v>579</v>
      </c>
      <c r="AB146" s="117">
        <v>77</v>
      </c>
      <c r="AD146" s="161">
        <v>-282</v>
      </c>
      <c r="AE146" s="117">
        <v>0</v>
      </c>
      <c r="AF146" s="117">
        <v>-1</v>
      </c>
      <c r="AG146" s="116">
        <v>0</v>
      </c>
      <c r="AH146" s="116">
        <v>-1</v>
      </c>
      <c r="AI146" s="160">
        <v>-284</v>
      </c>
      <c r="AJ146" s="161">
        <v>2496</v>
      </c>
      <c r="AK146" s="161">
        <v>210</v>
      </c>
      <c r="AL146" s="150"/>
      <c r="AM146" s="161">
        <v>8</v>
      </c>
      <c r="AN146" s="161">
        <v>-484</v>
      </c>
      <c r="AO146" s="160">
        <v>-1116</v>
      </c>
      <c r="AQ146" s="160"/>
      <c r="AR146" s="117"/>
      <c r="AS146" s="117"/>
      <c r="AT146" s="99">
        <v>21.5</v>
      </c>
      <c r="AU146" s="130"/>
      <c r="AV146" s="262">
        <v>250</v>
      </c>
      <c r="AW146" s="267">
        <v>1089</v>
      </c>
      <c r="AX146" s="124"/>
      <c r="AY146" s="255">
        <v>-0.23325062034739455</v>
      </c>
      <c r="AZ146" s="259">
        <v>58.730834752981259</v>
      </c>
      <c r="BA146" s="160">
        <v>-2796.1432506887054</v>
      </c>
      <c r="BB146" s="130"/>
      <c r="BC146" s="130"/>
      <c r="BD146" s="130"/>
      <c r="BE146" s="128">
        <v>46.311879311651886</v>
      </c>
      <c r="BF146" s="160">
        <v>2926.5381083562902</v>
      </c>
      <c r="BG146" s="129">
        <v>85.345877997994904</v>
      </c>
      <c r="BH146" s="131">
        <v>11907.254361799816</v>
      </c>
      <c r="BI146" s="124"/>
      <c r="BJ146" s="117">
        <v>4599</v>
      </c>
      <c r="BK146" s="117">
        <v>12031</v>
      </c>
      <c r="BL146" s="161">
        <v>51</v>
      </c>
      <c r="BM146" s="161">
        <v>-7381</v>
      </c>
      <c r="BN146" s="117">
        <v>2657</v>
      </c>
      <c r="BO146" s="117">
        <v>4484</v>
      </c>
      <c r="BP146" s="136"/>
      <c r="BR146" s="160">
        <v>-22</v>
      </c>
      <c r="BS146" s="160">
        <v>145</v>
      </c>
      <c r="BT146" s="161">
        <v>-117</v>
      </c>
      <c r="BU146" s="125">
        <v>614</v>
      </c>
      <c r="BV146" s="161">
        <v>0</v>
      </c>
      <c r="BX146" s="161">
        <v>-731</v>
      </c>
      <c r="BY146" s="161">
        <v>0</v>
      </c>
      <c r="BZ146" s="160">
        <v>3</v>
      </c>
      <c r="CA146" s="160">
        <v>0</v>
      </c>
      <c r="CB146" s="160">
        <v>0</v>
      </c>
      <c r="CC146" s="160">
        <v>-728</v>
      </c>
      <c r="CD146" s="160">
        <v>1763</v>
      </c>
      <c r="CE146" s="116">
        <v>-191</v>
      </c>
      <c r="CF146" s="150"/>
      <c r="CG146" s="161">
        <v>-123</v>
      </c>
      <c r="CH146" s="160">
        <v>-380</v>
      </c>
      <c r="CI146" s="159">
        <v>-704</v>
      </c>
      <c r="CK146" s="124"/>
      <c r="CL146" s="161"/>
      <c r="CM146" s="124"/>
      <c r="CN146" s="265">
        <v>22</v>
      </c>
      <c r="CO146" s="130"/>
      <c r="CP146" s="116">
        <v>281</v>
      </c>
      <c r="CQ146" s="267">
        <v>1078</v>
      </c>
      <c r="CR146" s="124"/>
      <c r="CS146" s="268">
        <v>1.5074135090609555</v>
      </c>
      <c r="CT146" s="269">
        <v>61.486430751464162</v>
      </c>
      <c r="CU146" s="160">
        <v>-2632.6530612244896</v>
      </c>
      <c r="CV146" s="130"/>
      <c r="CW146" s="130"/>
      <c r="CX146" s="130"/>
      <c r="CY146" s="269">
        <v>45.213147696282476</v>
      </c>
      <c r="CZ146" s="125">
        <v>3781.0760667903523</v>
      </c>
      <c r="DA146" s="125">
        <v>117.01588799748309</v>
      </c>
      <c r="DB146" s="273">
        <v>11794.063079777365</v>
      </c>
      <c r="DC146" s="124"/>
      <c r="DD146" s="117">
        <v>4705</v>
      </c>
      <c r="DE146" s="117">
        <v>11282</v>
      </c>
      <c r="DF146" s="117">
        <v>12</v>
      </c>
      <c r="DG146" s="117">
        <v>-6565</v>
      </c>
      <c r="DH146" s="117">
        <v>2736</v>
      </c>
      <c r="DI146" s="117">
        <v>4682</v>
      </c>
      <c r="DJ146" s="136"/>
      <c r="DL146" s="160">
        <v>-14</v>
      </c>
      <c r="DM146" s="160">
        <v>61</v>
      </c>
      <c r="DN146" s="161">
        <v>900</v>
      </c>
      <c r="DO146" s="116">
        <v>570</v>
      </c>
      <c r="DP146" s="161">
        <v>0</v>
      </c>
      <c r="DR146" s="161">
        <v>330</v>
      </c>
      <c r="DS146" s="117">
        <v>0</v>
      </c>
      <c r="DT146" s="116">
        <v>1</v>
      </c>
      <c r="DU146" s="116">
        <v>0</v>
      </c>
      <c r="DV146" s="116">
        <v>0</v>
      </c>
      <c r="DW146" s="160">
        <v>331</v>
      </c>
      <c r="DX146" s="160">
        <v>1987</v>
      </c>
      <c r="DY146" s="116">
        <v>891</v>
      </c>
      <c r="DZ146" s="150"/>
      <c r="EA146" s="117">
        <v>99</v>
      </c>
      <c r="EB146" s="116">
        <v>-592</v>
      </c>
      <c r="EC146" s="159">
        <v>267</v>
      </c>
      <c r="EE146" s="125"/>
      <c r="EF146" s="161"/>
      <c r="EG146" s="124"/>
      <c r="EH146" s="253">
        <v>22</v>
      </c>
      <c r="EI146" s="130"/>
      <c r="EJ146" s="125">
        <v>214</v>
      </c>
      <c r="EK146" s="116"/>
      <c r="EL146" s="159"/>
      <c r="EN146" s="116"/>
      <c r="EO146" s="116"/>
      <c r="EP146" s="159"/>
      <c r="EQ146" s="159">
        <v>-1423</v>
      </c>
      <c r="ER146" s="116">
        <v>4</v>
      </c>
      <c r="ES146" s="116">
        <v>93</v>
      </c>
      <c r="ET146" s="160">
        <v>-579</v>
      </c>
      <c r="EU146" s="116">
        <v>10</v>
      </c>
      <c r="EV146" s="116">
        <v>56</v>
      </c>
      <c r="EW146" s="160">
        <v>-782</v>
      </c>
      <c r="EX146" s="160">
        <v>2</v>
      </c>
      <c r="EY146" s="160">
        <v>156</v>
      </c>
      <c r="EZ146" s="116">
        <v>803</v>
      </c>
      <c r="FA146" s="116">
        <v>-10</v>
      </c>
      <c r="FB146" s="116">
        <v>749</v>
      </c>
      <c r="FC146" s="160">
        <v>499</v>
      </c>
      <c r="FD146" s="116">
        <v>1044</v>
      </c>
      <c r="FE146" s="116">
        <v>108</v>
      </c>
      <c r="FF146" s="3">
        <v>3959</v>
      </c>
      <c r="FG146" s="3">
        <v>2526</v>
      </c>
      <c r="FH146" s="3">
        <v>1433</v>
      </c>
      <c r="FI146" s="3">
        <v>89</v>
      </c>
      <c r="FJ146" s="125">
        <v>4762</v>
      </c>
      <c r="FK146" s="160">
        <v>2912</v>
      </c>
      <c r="FL146" s="125">
        <v>1850</v>
      </c>
      <c r="FM146" s="116">
        <v>87</v>
      </c>
      <c r="FN146" s="125">
        <v>5311</v>
      </c>
      <c r="FO146" s="116">
        <v>3304</v>
      </c>
      <c r="FP146" s="116">
        <v>2007</v>
      </c>
      <c r="FQ146" s="116">
        <v>99</v>
      </c>
      <c r="FR146" s="153">
        <v>459</v>
      </c>
      <c r="FS146" s="153">
        <v>321</v>
      </c>
      <c r="FT146" s="276">
        <v>295</v>
      </c>
      <c r="FU146" s="3">
        <v>161</v>
      </c>
      <c r="FV146" s="159">
        <v>104</v>
      </c>
      <c r="FW146" s="170"/>
      <c r="FZ146" s="155"/>
      <c r="GA146" s="2"/>
      <c r="GD146" s="163"/>
      <c r="GE146" s="2"/>
      <c r="GF146" s="2"/>
    </row>
    <row r="147" spans="1:188" ht="14.5" x14ac:dyDescent="0.35">
      <c r="A147" s="72">
        <v>484</v>
      </c>
      <c r="B147" s="70" t="s">
        <v>144</v>
      </c>
      <c r="C147" s="158">
        <v>3115</v>
      </c>
      <c r="D147" s="171"/>
      <c r="E147" s="128">
        <v>-0.47499999999999998</v>
      </c>
      <c r="F147" s="128">
        <v>21.171325940965172</v>
      </c>
      <c r="G147" s="129">
        <v>-931.94221508828241</v>
      </c>
      <c r="H147" s="216"/>
      <c r="I147" s="172"/>
      <c r="J147" s="218"/>
      <c r="K147" s="128">
        <v>73.986152324431259</v>
      </c>
      <c r="L147" s="129">
        <v>781.38041733547345</v>
      </c>
      <c r="M147" s="129">
        <v>26.00655718509411</v>
      </c>
      <c r="N147" s="129">
        <v>10966.61316211878</v>
      </c>
      <c r="O147" s="129"/>
      <c r="P147" s="117">
        <v>11006</v>
      </c>
      <c r="Q147" s="161">
        <v>32134</v>
      </c>
      <c r="R147" s="161">
        <v>-8</v>
      </c>
      <c r="S147" s="161">
        <v>-21136</v>
      </c>
      <c r="T147" s="124">
        <v>9286</v>
      </c>
      <c r="U147" s="124">
        <v>11723</v>
      </c>
      <c r="V147" s="136"/>
      <c r="X147" s="116">
        <v>-17</v>
      </c>
      <c r="Y147" s="116">
        <v>31</v>
      </c>
      <c r="Z147" s="161">
        <v>-113</v>
      </c>
      <c r="AA147" s="116">
        <v>1631</v>
      </c>
      <c r="AB147" s="116">
        <v>0</v>
      </c>
      <c r="AD147" s="161">
        <v>-1744</v>
      </c>
      <c r="AE147" s="117">
        <v>0</v>
      </c>
      <c r="AF147" s="117">
        <v>-28</v>
      </c>
      <c r="AG147" s="116">
        <v>0</v>
      </c>
      <c r="AH147" s="116">
        <v>0</v>
      </c>
      <c r="AI147" s="160">
        <v>-1772</v>
      </c>
      <c r="AJ147" s="161">
        <v>4510</v>
      </c>
      <c r="AK147" s="161">
        <v>-119</v>
      </c>
      <c r="AL147" s="150"/>
      <c r="AM147" s="161">
        <v>372</v>
      </c>
      <c r="AN147" s="161">
        <v>-182</v>
      </c>
      <c r="AO147" s="160">
        <v>-1846</v>
      </c>
      <c r="AQ147" s="160"/>
      <c r="AR147" s="117"/>
      <c r="AS147" s="117"/>
      <c r="AT147" s="99">
        <v>19.5</v>
      </c>
      <c r="AU147" s="130"/>
      <c r="AV147" s="262">
        <v>284</v>
      </c>
      <c r="AW147" s="267">
        <v>3067</v>
      </c>
      <c r="AX147" s="124"/>
      <c r="AY147" s="255">
        <v>1.9974160206718345</v>
      </c>
      <c r="AZ147" s="259">
        <v>27.831803447544608</v>
      </c>
      <c r="BA147" s="160">
        <v>-1637.75676556896</v>
      </c>
      <c r="BB147" s="130"/>
      <c r="BC147" s="130"/>
      <c r="BD147" s="130"/>
      <c r="BE147" s="128">
        <v>67.25420664719789</v>
      </c>
      <c r="BF147" s="160">
        <v>733.61591131398757</v>
      </c>
      <c r="BG147" s="129">
        <v>25.930673606689002</v>
      </c>
      <c r="BH147" s="131">
        <v>11776.654711444407</v>
      </c>
      <c r="BI147" s="124"/>
      <c r="BJ147" s="117">
        <v>11415</v>
      </c>
      <c r="BK147" s="117">
        <v>32354</v>
      </c>
      <c r="BL147" s="161">
        <v>1</v>
      </c>
      <c r="BM147" s="161">
        <v>-20938</v>
      </c>
      <c r="BN147" s="117">
        <v>10012</v>
      </c>
      <c r="BO147" s="117">
        <v>11582</v>
      </c>
      <c r="BP147" s="136"/>
      <c r="BR147" s="160">
        <v>14</v>
      </c>
      <c r="BS147" s="160">
        <v>88</v>
      </c>
      <c r="BT147" s="161">
        <v>758</v>
      </c>
      <c r="BU147" s="125">
        <v>1698</v>
      </c>
      <c r="BV147" s="160">
        <v>0</v>
      </c>
      <c r="BX147" s="161">
        <v>-940</v>
      </c>
      <c r="BY147" s="161">
        <v>1</v>
      </c>
      <c r="BZ147" s="160">
        <v>-90</v>
      </c>
      <c r="CA147" s="160">
        <v>1</v>
      </c>
      <c r="CB147" s="160">
        <v>0</v>
      </c>
      <c r="CC147" s="160">
        <v>-1030</v>
      </c>
      <c r="CD147" s="160">
        <v>3606</v>
      </c>
      <c r="CE147" s="116">
        <v>722</v>
      </c>
      <c r="CF147" s="150"/>
      <c r="CG147" s="161">
        <v>-399</v>
      </c>
      <c r="CH147" s="160">
        <v>-372</v>
      </c>
      <c r="CI147" s="159">
        <v>-2223</v>
      </c>
      <c r="CK147" s="124"/>
      <c r="CL147" s="161"/>
      <c r="CM147" s="124"/>
      <c r="CN147" s="265">
        <v>20.5</v>
      </c>
      <c r="CO147" s="130"/>
      <c r="CP147" s="116">
        <v>229</v>
      </c>
      <c r="CQ147" s="267">
        <v>3066</v>
      </c>
      <c r="CR147" s="124"/>
      <c r="CS147" s="268">
        <v>5.8686868686868685</v>
      </c>
      <c r="CT147" s="269">
        <v>26.161021528311007</v>
      </c>
      <c r="CU147" s="160">
        <v>-359.09980430528378</v>
      </c>
      <c r="CV147" s="130"/>
      <c r="CW147" s="130"/>
      <c r="CX147" s="130"/>
      <c r="CY147" s="269">
        <v>68.055036521148295</v>
      </c>
      <c r="CZ147" s="125">
        <v>1135.0293542074364</v>
      </c>
      <c r="DA147" s="125">
        <v>36.720534243011187</v>
      </c>
      <c r="DB147" s="273">
        <v>11282.126549249837</v>
      </c>
      <c r="DC147" s="124"/>
      <c r="DD147" s="117">
        <v>11104</v>
      </c>
      <c r="DE147" s="117">
        <v>32293</v>
      </c>
      <c r="DF147" s="117">
        <v>-3</v>
      </c>
      <c r="DG147" s="117">
        <v>-21192</v>
      </c>
      <c r="DH147" s="117">
        <v>11297</v>
      </c>
      <c r="DI147" s="117">
        <v>12762</v>
      </c>
      <c r="DJ147" s="136"/>
      <c r="DL147" s="160">
        <v>-4</v>
      </c>
      <c r="DM147" s="160">
        <v>22</v>
      </c>
      <c r="DN147" s="161">
        <v>2885</v>
      </c>
      <c r="DO147" s="116">
        <v>1748</v>
      </c>
      <c r="DP147" s="160">
        <v>0</v>
      </c>
      <c r="DR147" s="161">
        <v>1137</v>
      </c>
      <c r="DS147" s="117">
        <v>1</v>
      </c>
      <c r="DT147" s="116">
        <v>-1</v>
      </c>
      <c r="DU147" s="116">
        <v>1</v>
      </c>
      <c r="DV147" s="116">
        <v>-13</v>
      </c>
      <c r="DW147" s="160">
        <v>1123</v>
      </c>
      <c r="DX147" s="160">
        <v>4333</v>
      </c>
      <c r="DY147" s="116">
        <v>2776</v>
      </c>
      <c r="DZ147" s="150"/>
      <c r="EA147" s="117">
        <v>-2611</v>
      </c>
      <c r="EB147" s="116">
        <v>-475</v>
      </c>
      <c r="EC147" s="159">
        <v>3817</v>
      </c>
      <c r="EE147" s="125"/>
      <c r="EF147" s="161"/>
      <c r="EG147" s="124"/>
      <c r="EH147" s="253">
        <v>20.5</v>
      </c>
      <c r="EI147" s="130"/>
      <c r="EJ147" s="125">
        <v>157</v>
      </c>
      <c r="EK147" s="116"/>
      <c r="EL147" s="159"/>
      <c r="EN147" s="116"/>
      <c r="EO147" s="116"/>
      <c r="EP147" s="159"/>
      <c r="EQ147" s="159">
        <v>-1811</v>
      </c>
      <c r="ER147" s="116">
        <v>11</v>
      </c>
      <c r="ES147" s="116">
        <v>73</v>
      </c>
      <c r="ET147" s="160">
        <v>-3375</v>
      </c>
      <c r="EU147" s="116">
        <v>270</v>
      </c>
      <c r="EV147" s="116">
        <v>160</v>
      </c>
      <c r="EW147" s="160">
        <v>-1801</v>
      </c>
      <c r="EX147" s="160">
        <v>48</v>
      </c>
      <c r="EY147" s="160">
        <v>2794</v>
      </c>
      <c r="EZ147" s="116">
        <v>236</v>
      </c>
      <c r="FA147" s="116">
        <v>-8</v>
      </c>
      <c r="FB147" s="116">
        <v>2724</v>
      </c>
      <c r="FC147" s="160">
        <v>129</v>
      </c>
      <c r="FD147" s="116">
        <v>36</v>
      </c>
      <c r="FE147" s="116">
        <v>89</v>
      </c>
      <c r="FF147" s="3">
        <v>2395</v>
      </c>
      <c r="FG147" s="3">
        <v>2113</v>
      </c>
      <c r="FH147" s="3">
        <v>282</v>
      </c>
      <c r="FI147" s="3">
        <v>0</v>
      </c>
      <c r="FJ147" s="125">
        <v>4891</v>
      </c>
      <c r="FK147" s="160">
        <v>4443</v>
      </c>
      <c r="FL147" s="125">
        <v>448</v>
      </c>
      <c r="FM147" s="116">
        <v>0</v>
      </c>
      <c r="FN147" s="125">
        <v>4554</v>
      </c>
      <c r="FO147" s="116">
        <v>3983</v>
      </c>
      <c r="FP147" s="116">
        <v>571</v>
      </c>
      <c r="FQ147" s="116">
        <v>-2611</v>
      </c>
      <c r="FR147" s="153">
        <v>153</v>
      </c>
      <c r="FS147" s="153">
        <v>151</v>
      </c>
      <c r="FT147" s="276">
        <v>149</v>
      </c>
      <c r="FU147" s="3">
        <v>335</v>
      </c>
      <c r="FV147" s="159">
        <v>303</v>
      </c>
      <c r="FW147" s="170"/>
      <c r="FZ147" s="155"/>
      <c r="GA147" s="2"/>
      <c r="GD147" s="163"/>
      <c r="GE147" s="2"/>
      <c r="GF147" s="2"/>
    </row>
    <row r="148" spans="1:188" ht="14.5" x14ac:dyDescent="0.35">
      <c r="A148" s="72">
        <v>489</v>
      </c>
      <c r="B148" s="70" t="s">
        <v>145</v>
      </c>
      <c r="C148" s="158">
        <v>1940</v>
      </c>
      <c r="D148" s="171"/>
      <c r="E148" s="128">
        <v>1.2011019283746556</v>
      </c>
      <c r="F148" s="128">
        <v>48.118630320555773</v>
      </c>
      <c r="G148" s="129">
        <v>-4860.3092783505153</v>
      </c>
      <c r="H148" s="216"/>
      <c r="I148" s="172"/>
      <c r="J148" s="218"/>
      <c r="K148" s="128">
        <v>52.228374637045043</v>
      </c>
      <c r="L148" s="129">
        <v>1388.1443298969073</v>
      </c>
      <c r="M148" s="129">
        <v>33.489318932915403</v>
      </c>
      <c r="N148" s="129">
        <v>15129.381443298969</v>
      </c>
      <c r="O148" s="129"/>
      <c r="P148" s="117">
        <v>14853</v>
      </c>
      <c r="Q148" s="161">
        <v>27376</v>
      </c>
      <c r="R148" s="161">
        <v>1</v>
      </c>
      <c r="S148" s="161">
        <v>-12522</v>
      </c>
      <c r="T148" s="124">
        <v>5617</v>
      </c>
      <c r="U148" s="124">
        <v>7887</v>
      </c>
      <c r="V148" s="136"/>
      <c r="X148" s="116">
        <v>-33</v>
      </c>
      <c r="Y148" s="116">
        <v>-123</v>
      </c>
      <c r="Z148" s="161">
        <v>826</v>
      </c>
      <c r="AA148" s="116">
        <v>1320</v>
      </c>
      <c r="AB148" s="116">
        <v>0</v>
      </c>
      <c r="AD148" s="161">
        <v>-494</v>
      </c>
      <c r="AE148" s="116">
        <v>0</v>
      </c>
      <c r="AF148" s="116">
        <v>-9</v>
      </c>
      <c r="AG148" s="116">
        <v>0</v>
      </c>
      <c r="AH148" s="116">
        <v>-12</v>
      </c>
      <c r="AI148" s="160">
        <v>-515</v>
      </c>
      <c r="AJ148" s="161">
        <v>5336</v>
      </c>
      <c r="AK148" s="161">
        <v>818</v>
      </c>
      <c r="AL148" s="150"/>
      <c r="AM148" s="161">
        <v>-189</v>
      </c>
      <c r="AN148" s="161">
        <v>-680</v>
      </c>
      <c r="AO148" s="160">
        <v>-233</v>
      </c>
      <c r="AQ148" s="160"/>
      <c r="AR148" s="117"/>
      <c r="AS148" s="117"/>
      <c r="AT148" s="99">
        <v>20</v>
      </c>
      <c r="AU148" s="130"/>
      <c r="AV148" s="262">
        <v>172</v>
      </c>
      <c r="AW148" s="267">
        <v>1857</v>
      </c>
      <c r="AX148" s="124"/>
      <c r="AY148" s="255">
        <v>1.972972972972973</v>
      </c>
      <c r="AZ148" s="259">
        <v>53.889680278569166</v>
      </c>
      <c r="BA148" s="160">
        <v>-4907.3774905761975</v>
      </c>
      <c r="BB148" s="130"/>
      <c r="BC148" s="130"/>
      <c r="BD148" s="130"/>
      <c r="BE148" s="128">
        <v>53.755473223307511</v>
      </c>
      <c r="BF148" s="160">
        <v>1850.8346795907378</v>
      </c>
      <c r="BG148" s="129">
        <v>38.196355016709411</v>
      </c>
      <c r="BH148" s="131">
        <v>13857.8352180937</v>
      </c>
      <c r="BI148" s="124"/>
      <c r="BJ148" s="117">
        <v>11533</v>
      </c>
      <c r="BK148" s="117">
        <v>23844</v>
      </c>
      <c r="BL148" s="161">
        <v>-4</v>
      </c>
      <c r="BM148" s="161">
        <v>-12315</v>
      </c>
      <c r="BN148" s="117">
        <v>5882</v>
      </c>
      <c r="BO148" s="117">
        <v>7857</v>
      </c>
      <c r="BP148" s="136"/>
      <c r="BR148" s="160">
        <v>-23</v>
      </c>
      <c r="BS148" s="160">
        <v>20</v>
      </c>
      <c r="BT148" s="161">
        <v>1421</v>
      </c>
      <c r="BU148" s="125">
        <v>1251</v>
      </c>
      <c r="BV148" s="160">
        <v>0</v>
      </c>
      <c r="BX148" s="161">
        <v>170</v>
      </c>
      <c r="BY148" s="160">
        <v>0</v>
      </c>
      <c r="BZ148" s="160">
        <v>-5</v>
      </c>
      <c r="CA148" s="160">
        <v>0</v>
      </c>
      <c r="CB148" s="160">
        <v>-13</v>
      </c>
      <c r="CC148" s="160">
        <v>152</v>
      </c>
      <c r="CD148" s="160">
        <v>5487</v>
      </c>
      <c r="CE148" s="116">
        <v>1410</v>
      </c>
      <c r="CF148" s="150"/>
      <c r="CG148" s="161">
        <v>456</v>
      </c>
      <c r="CH148" s="160">
        <v>-701</v>
      </c>
      <c r="CI148" s="159">
        <v>285</v>
      </c>
      <c r="CK148" s="124"/>
      <c r="CL148" s="161"/>
      <c r="CM148" s="124"/>
      <c r="CN148" s="265">
        <v>20.5</v>
      </c>
      <c r="CO148" s="130"/>
      <c r="CP148" s="116">
        <v>45</v>
      </c>
      <c r="CQ148" s="267">
        <v>1868</v>
      </c>
      <c r="CR148" s="124"/>
      <c r="CS148" s="268">
        <v>2.9263157894736844</v>
      </c>
      <c r="CT148" s="269">
        <v>51.560088825322744</v>
      </c>
      <c r="CU148" s="160">
        <v>-4359.7430406852245</v>
      </c>
      <c r="CV148" s="130"/>
      <c r="CW148" s="130"/>
      <c r="CX148" s="130"/>
      <c r="CY148" s="269">
        <v>54.496971293126151</v>
      </c>
      <c r="CZ148" s="125">
        <v>2279.9785867237683</v>
      </c>
      <c r="DA148" s="125">
        <v>58.926310602327433</v>
      </c>
      <c r="DB148" s="273">
        <v>14122.591006423983</v>
      </c>
      <c r="DC148" s="124"/>
      <c r="DD148" s="117">
        <v>12504</v>
      </c>
      <c r="DE148" s="117">
        <v>24370</v>
      </c>
      <c r="DF148" s="117">
        <v>-4</v>
      </c>
      <c r="DG148" s="117">
        <v>-11870</v>
      </c>
      <c r="DH148" s="117">
        <v>5843</v>
      </c>
      <c r="DI148" s="117">
        <v>8222</v>
      </c>
      <c r="DJ148" s="136"/>
      <c r="DL148" s="160">
        <v>-28</v>
      </c>
      <c r="DM148" s="160">
        <v>19</v>
      </c>
      <c r="DN148" s="161">
        <v>2186</v>
      </c>
      <c r="DO148" s="116">
        <v>1584</v>
      </c>
      <c r="DP148" s="160">
        <v>0</v>
      </c>
      <c r="DR148" s="161">
        <v>602</v>
      </c>
      <c r="DS148" s="116">
        <v>0</v>
      </c>
      <c r="DT148" s="116">
        <v>0</v>
      </c>
      <c r="DU148" s="116">
        <v>0</v>
      </c>
      <c r="DV148" s="116">
        <v>15</v>
      </c>
      <c r="DW148" s="160">
        <v>617</v>
      </c>
      <c r="DX148" s="160">
        <v>6105</v>
      </c>
      <c r="DY148" s="116">
        <v>2160</v>
      </c>
      <c r="DZ148" s="150"/>
      <c r="EA148" s="117">
        <v>-227</v>
      </c>
      <c r="EB148" s="116">
        <v>-722</v>
      </c>
      <c r="EC148" s="159">
        <v>944</v>
      </c>
      <c r="EE148" s="125"/>
      <c r="EF148" s="161"/>
      <c r="EG148" s="124"/>
      <c r="EH148" s="253">
        <v>20.5</v>
      </c>
      <c r="EI148" s="130"/>
      <c r="EJ148" s="125">
        <v>84</v>
      </c>
      <c r="EK148" s="116"/>
      <c r="EL148" s="159"/>
      <c r="EN148" s="116"/>
      <c r="EO148" s="116"/>
      <c r="EP148" s="159"/>
      <c r="EQ148" s="159">
        <v>-1109</v>
      </c>
      <c r="ER148" s="116">
        <v>72</v>
      </c>
      <c r="ES148" s="116">
        <v>-14</v>
      </c>
      <c r="ET148" s="160">
        <v>-1147</v>
      </c>
      <c r="EU148" s="116">
        <v>38</v>
      </c>
      <c r="EV148" s="116">
        <v>-16</v>
      </c>
      <c r="EW148" s="160">
        <v>-1244</v>
      </c>
      <c r="EX148" s="160">
        <v>0</v>
      </c>
      <c r="EY148" s="160">
        <v>28</v>
      </c>
      <c r="EZ148" s="116">
        <v>192</v>
      </c>
      <c r="FA148" s="116">
        <v>-5</v>
      </c>
      <c r="FB148" s="116">
        <v>707</v>
      </c>
      <c r="FC148" s="160">
        <v>1996</v>
      </c>
      <c r="FD148" s="116">
        <v>253</v>
      </c>
      <c r="FE148" s="116">
        <v>3</v>
      </c>
      <c r="FF148" s="3">
        <v>9278</v>
      </c>
      <c r="FG148" s="3">
        <v>4578</v>
      </c>
      <c r="FH148" s="3">
        <v>4700</v>
      </c>
      <c r="FI148" s="3">
        <v>0</v>
      </c>
      <c r="FJ148" s="125">
        <v>11278</v>
      </c>
      <c r="FK148" s="160">
        <v>4569</v>
      </c>
      <c r="FL148" s="125">
        <v>6709</v>
      </c>
      <c r="FM148" s="116">
        <v>0</v>
      </c>
      <c r="FN148" s="125">
        <v>10822</v>
      </c>
      <c r="FO148" s="116">
        <v>4099</v>
      </c>
      <c r="FP148" s="116">
        <v>6723</v>
      </c>
      <c r="FQ148" s="116">
        <v>-227</v>
      </c>
      <c r="FR148" s="153">
        <v>305</v>
      </c>
      <c r="FS148" s="153">
        <v>304</v>
      </c>
      <c r="FT148" s="276">
        <v>303</v>
      </c>
      <c r="FU148" s="3">
        <v>28</v>
      </c>
      <c r="FV148" s="159">
        <v>331</v>
      </c>
      <c r="FW148" s="170"/>
      <c r="FZ148" s="155"/>
      <c r="GA148" s="2"/>
      <c r="GD148" s="163"/>
      <c r="GE148" s="2"/>
      <c r="GF148" s="2"/>
    </row>
    <row r="149" spans="1:188" ht="14.5" x14ac:dyDescent="0.35">
      <c r="A149" s="72">
        <v>491</v>
      </c>
      <c r="B149" s="70" t="s">
        <v>146</v>
      </c>
      <c r="C149" s="158">
        <v>53818</v>
      </c>
      <c r="D149" s="171"/>
      <c r="E149" s="128">
        <v>0.88540870893812074</v>
      </c>
      <c r="F149" s="128">
        <v>106.00142471006484</v>
      </c>
      <c r="G149" s="129">
        <v>-10371.845850830578</v>
      </c>
      <c r="H149" s="216"/>
      <c r="I149" s="172"/>
      <c r="J149" s="218"/>
      <c r="K149" s="128">
        <v>29.252275931992553</v>
      </c>
      <c r="L149" s="129">
        <v>554.60998179047908</v>
      </c>
      <c r="M149" s="129">
        <v>15.851070485446781</v>
      </c>
      <c r="N149" s="129">
        <v>12770.913077409044</v>
      </c>
      <c r="O149" s="129"/>
      <c r="P149" s="117">
        <v>266352</v>
      </c>
      <c r="Q149" s="161">
        <v>561229</v>
      </c>
      <c r="R149" s="161">
        <v>-78</v>
      </c>
      <c r="S149" s="161">
        <v>-294955</v>
      </c>
      <c r="T149" s="124">
        <v>197629</v>
      </c>
      <c r="U149" s="124">
        <v>136843</v>
      </c>
      <c r="V149" s="136"/>
      <c r="X149" s="116">
        <v>-3718</v>
      </c>
      <c r="Y149" s="116">
        <v>-723</v>
      </c>
      <c r="Z149" s="161">
        <v>35076</v>
      </c>
      <c r="AA149" s="116">
        <v>46197</v>
      </c>
      <c r="AB149" s="116">
        <v>144</v>
      </c>
      <c r="AD149" s="161">
        <v>-10977</v>
      </c>
      <c r="AE149" s="117">
        <v>253</v>
      </c>
      <c r="AF149" s="117">
        <v>0</v>
      </c>
      <c r="AG149" s="116">
        <v>-1042</v>
      </c>
      <c r="AH149" s="116">
        <v>-595</v>
      </c>
      <c r="AI149" s="160">
        <v>-12361</v>
      </c>
      <c r="AJ149" s="161">
        <v>47738</v>
      </c>
      <c r="AK149" s="161">
        <v>31138</v>
      </c>
      <c r="AL149" s="150"/>
      <c r="AM149" s="161">
        <v>3413</v>
      </c>
      <c r="AN149" s="161">
        <v>-40176</v>
      </c>
      <c r="AO149" s="160">
        <v>-37141</v>
      </c>
      <c r="AQ149" s="160"/>
      <c r="AR149" s="117"/>
      <c r="AS149" s="117"/>
      <c r="AT149" s="99">
        <v>20.5</v>
      </c>
      <c r="AU149" s="130"/>
      <c r="AV149" s="262">
        <v>91</v>
      </c>
      <c r="AW149" s="267">
        <v>53134</v>
      </c>
      <c r="AX149" s="124"/>
      <c r="AY149" s="255">
        <v>0.8769840437800096</v>
      </c>
      <c r="AZ149" s="259">
        <v>115.412326186013</v>
      </c>
      <c r="BA149" s="160">
        <v>-11936.820115180486</v>
      </c>
      <c r="BB149" s="130"/>
      <c r="BC149" s="130"/>
      <c r="BD149" s="130"/>
      <c r="BE149" s="128">
        <v>25.720195485977328</v>
      </c>
      <c r="BF149" s="160">
        <v>531.26058644182626</v>
      </c>
      <c r="BG149" s="129">
        <v>14.682566683882463</v>
      </c>
      <c r="BH149" s="131">
        <v>13774.344111115293</v>
      </c>
      <c r="BI149" s="124"/>
      <c r="BJ149" s="117">
        <v>277059</v>
      </c>
      <c r="BK149" s="117">
        <v>579313</v>
      </c>
      <c r="BL149" s="161">
        <v>-552</v>
      </c>
      <c r="BM149" s="161">
        <v>-302806</v>
      </c>
      <c r="BN149" s="117">
        <v>202124</v>
      </c>
      <c r="BO149" s="117">
        <v>141236</v>
      </c>
      <c r="BP149" s="136"/>
      <c r="BR149" s="160">
        <v>-3727</v>
      </c>
      <c r="BS149" s="160">
        <v>522</v>
      </c>
      <c r="BT149" s="161">
        <v>37349</v>
      </c>
      <c r="BU149" s="125">
        <v>50093</v>
      </c>
      <c r="BV149" s="160">
        <v>0</v>
      </c>
      <c r="BX149" s="161">
        <v>-12744</v>
      </c>
      <c r="BY149" s="161">
        <v>11</v>
      </c>
      <c r="BZ149" s="160">
        <v>0</v>
      </c>
      <c r="CA149" s="160">
        <v>969</v>
      </c>
      <c r="CB149" s="160">
        <v>-923</v>
      </c>
      <c r="CC149" s="160">
        <v>-14625</v>
      </c>
      <c r="CD149" s="160">
        <v>20388</v>
      </c>
      <c r="CE149" s="116">
        <v>30856</v>
      </c>
      <c r="CF149" s="150"/>
      <c r="CG149" s="160">
        <v>-4248</v>
      </c>
      <c r="CH149" s="160">
        <v>-43216</v>
      </c>
      <c r="CI149" s="159">
        <v>-57450</v>
      </c>
      <c r="CK149" s="124"/>
      <c r="CL149" s="161"/>
      <c r="CM149" s="124"/>
      <c r="CN149" s="265">
        <v>20.5</v>
      </c>
      <c r="CO149" s="130"/>
      <c r="CP149" s="116">
        <v>59</v>
      </c>
      <c r="CQ149" s="267">
        <v>52583</v>
      </c>
      <c r="CR149" s="124"/>
      <c r="CS149" s="268">
        <v>1.4056609348224309</v>
      </c>
      <c r="CT149" s="269">
        <v>111.47721605426101</v>
      </c>
      <c r="CU149" s="160">
        <v>-12449.137553962308</v>
      </c>
      <c r="CV149" s="130"/>
      <c r="CW149" s="130"/>
      <c r="CX149" s="130"/>
      <c r="CY149" s="269">
        <v>26.135473534298601</v>
      </c>
      <c r="CZ149" s="125">
        <v>472.47209174067666</v>
      </c>
      <c r="DA149" s="125">
        <v>12.427771252677614</v>
      </c>
      <c r="DB149" s="273">
        <v>13876.366886636366</v>
      </c>
      <c r="DC149" s="124"/>
      <c r="DD149" s="117">
        <v>265848</v>
      </c>
      <c r="DE149" s="117">
        <v>579665</v>
      </c>
      <c r="DF149" s="117">
        <v>295</v>
      </c>
      <c r="DG149" s="117">
        <v>-313522</v>
      </c>
      <c r="DH149" s="117">
        <v>220435</v>
      </c>
      <c r="DI149" s="117">
        <v>165382</v>
      </c>
      <c r="DJ149" s="136"/>
      <c r="DL149" s="160">
        <v>-4469</v>
      </c>
      <c r="DM149" s="160">
        <v>-1526</v>
      </c>
      <c r="DN149" s="161">
        <v>66300</v>
      </c>
      <c r="DO149" s="116">
        <v>55903</v>
      </c>
      <c r="DP149" s="160">
        <v>0</v>
      </c>
      <c r="DR149" s="161">
        <v>10397</v>
      </c>
      <c r="DS149" s="117">
        <v>-523</v>
      </c>
      <c r="DT149" s="116">
        <v>0</v>
      </c>
      <c r="DU149" s="116">
        <v>614</v>
      </c>
      <c r="DV149" s="116">
        <v>71</v>
      </c>
      <c r="DW149" s="160">
        <v>9331</v>
      </c>
      <c r="DX149" s="160">
        <v>30249</v>
      </c>
      <c r="DY149" s="116">
        <v>64960</v>
      </c>
      <c r="DZ149" s="150"/>
      <c r="EA149" s="116">
        <v>6559</v>
      </c>
      <c r="EB149" s="116">
        <v>-45705</v>
      </c>
      <c r="EC149" s="159">
        <v>-25764</v>
      </c>
      <c r="EE149" s="125"/>
      <c r="EF149" s="161"/>
      <c r="EG149" s="124"/>
      <c r="EH149" s="253">
        <v>22</v>
      </c>
      <c r="EI149" s="130"/>
      <c r="EJ149" s="125">
        <v>61</v>
      </c>
      <c r="EK149" s="116"/>
      <c r="EL149" s="159"/>
      <c r="EN149" s="116"/>
      <c r="EO149" s="116"/>
      <c r="EP149" s="159"/>
      <c r="EQ149" s="159">
        <v>-79687</v>
      </c>
      <c r="ER149" s="116">
        <v>1457</v>
      </c>
      <c r="ES149" s="116">
        <v>9951</v>
      </c>
      <c r="ET149" s="160">
        <v>-101631</v>
      </c>
      <c r="EU149" s="116">
        <v>2568</v>
      </c>
      <c r="EV149" s="116">
        <v>10757</v>
      </c>
      <c r="EW149" s="160">
        <v>-95999</v>
      </c>
      <c r="EX149" s="160">
        <v>2999</v>
      </c>
      <c r="EY149" s="160">
        <v>2276</v>
      </c>
      <c r="EZ149" s="116">
        <v>77782</v>
      </c>
      <c r="FA149" s="116">
        <v>-19300</v>
      </c>
      <c r="FB149" s="116">
        <v>111056</v>
      </c>
      <c r="FC149" s="160">
        <v>-12502</v>
      </c>
      <c r="FD149" s="116">
        <v>85783</v>
      </c>
      <c r="FE149" s="116">
        <v>-26593</v>
      </c>
      <c r="FF149" s="3">
        <v>523530</v>
      </c>
      <c r="FG149" s="3">
        <v>423788</v>
      </c>
      <c r="FH149" s="3">
        <v>99742</v>
      </c>
      <c r="FI149" s="3">
        <v>25301</v>
      </c>
      <c r="FJ149" s="125">
        <v>581069</v>
      </c>
      <c r="FK149" s="160">
        <v>489209</v>
      </c>
      <c r="FL149" s="125">
        <v>91860</v>
      </c>
      <c r="FM149" s="116">
        <v>24156</v>
      </c>
      <c r="FN149" s="125">
        <v>594556</v>
      </c>
      <c r="FO149" s="116">
        <v>527602</v>
      </c>
      <c r="FP149" s="116">
        <v>66954</v>
      </c>
      <c r="FQ149" s="116">
        <v>6559</v>
      </c>
      <c r="FR149" s="153">
        <v>5436</v>
      </c>
      <c r="FS149" s="153">
        <v>4996</v>
      </c>
      <c r="FT149" s="276">
        <v>3222</v>
      </c>
      <c r="FU149" s="3">
        <v>55357</v>
      </c>
      <c r="FV149" s="159">
        <v>38257</v>
      </c>
      <c r="FW149" s="170"/>
      <c r="FZ149" s="155"/>
      <c r="GA149" s="2"/>
      <c r="GD149" s="163"/>
      <c r="GE149" s="2"/>
      <c r="GF149" s="2"/>
    </row>
    <row r="150" spans="1:188" ht="14.5" x14ac:dyDescent="0.35">
      <c r="A150" s="72">
        <v>494</v>
      </c>
      <c r="B150" s="70" t="s">
        <v>147</v>
      </c>
      <c r="C150" s="158">
        <v>8980</v>
      </c>
      <c r="D150" s="171"/>
      <c r="E150" s="128">
        <v>0.40553135447269778</v>
      </c>
      <c r="F150" s="128">
        <v>68.808092459903719</v>
      </c>
      <c r="G150" s="129">
        <v>-5587.7505567928729</v>
      </c>
      <c r="H150" s="216"/>
      <c r="I150" s="172"/>
      <c r="J150" s="218"/>
      <c r="K150" s="128">
        <v>32.857759119556412</v>
      </c>
      <c r="L150" s="129">
        <v>684.52115812917589</v>
      </c>
      <c r="M150" s="129">
        <v>22.201217098753215</v>
      </c>
      <c r="N150" s="129">
        <v>11253.89755011136</v>
      </c>
      <c r="O150" s="129"/>
      <c r="P150" s="117">
        <v>32609</v>
      </c>
      <c r="Q150" s="161">
        <v>86278</v>
      </c>
      <c r="R150" s="161">
        <v>38</v>
      </c>
      <c r="S150" s="161">
        <v>-53631</v>
      </c>
      <c r="T150" s="124">
        <v>30082</v>
      </c>
      <c r="U150" s="124">
        <v>27467</v>
      </c>
      <c r="V150" s="136"/>
      <c r="X150" s="116">
        <v>-390</v>
      </c>
      <c r="Y150" s="116">
        <v>54</v>
      </c>
      <c r="Z150" s="161">
        <v>3582</v>
      </c>
      <c r="AA150" s="116">
        <v>4828</v>
      </c>
      <c r="AB150" s="116">
        <v>483</v>
      </c>
      <c r="AD150" s="161">
        <v>-763</v>
      </c>
      <c r="AE150" s="117">
        <v>-3</v>
      </c>
      <c r="AF150" s="117">
        <v>-50</v>
      </c>
      <c r="AG150" s="116">
        <v>-2</v>
      </c>
      <c r="AH150" s="116">
        <v>-4</v>
      </c>
      <c r="AI150" s="160">
        <v>-822</v>
      </c>
      <c r="AJ150" s="161">
        <v>3132</v>
      </c>
      <c r="AK150" s="161">
        <v>3441</v>
      </c>
      <c r="AL150" s="150"/>
      <c r="AM150" s="161">
        <v>-59</v>
      </c>
      <c r="AN150" s="161">
        <v>-9450</v>
      </c>
      <c r="AO150" s="160">
        <v>-307</v>
      </c>
      <c r="AQ150" s="160"/>
      <c r="AR150" s="117"/>
      <c r="AS150" s="117"/>
      <c r="AT150" s="99">
        <v>21</v>
      </c>
      <c r="AU150" s="130"/>
      <c r="AV150" s="262">
        <v>182</v>
      </c>
      <c r="AW150" s="267">
        <v>8908</v>
      </c>
      <c r="AX150" s="124"/>
      <c r="AY150" s="255">
        <v>0.41445367930265559</v>
      </c>
      <c r="AZ150" s="259">
        <v>77.723302031011144</v>
      </c>
      <c r="BA150" s="160">
        <v>-6664.5711719802421</v>
      </c>
      <c r="BB150" s="130"/>
      <c r="BC150" s="130"/>
      <c r="BD150" s="130"/>
      <c r="BE150" s="128">
        <v>28.978201634877383</v>
      </c>
      <c r="BF150" s="160">
        <v>541.98473282442751</v>
      </c>
      <c r="BG150" s="129">
        <v>20.311555104922959</v>
      </c>
      <c r="BH150" s="131">
        <v>12400.314324202964</v>
      </c>
      <c r="BI150" s="124"/>
      <c r="BJ150" s="117">
        <v>33022</v>
      </c>
      <c r="BK150" s="117">
        <v>87574</v>
      </c>
      <c r="BL150" s="161">
        <v>41</v>
      </c>
      <c r="BM150" s="161">
        <v>-54511</v>
      </c>
      <c r="BN150" s="117">
        <v>30871</v>
      </c>
      <c r="BO150" s="117">
        <v>27687</v>
      </c>
      <c r="BP150" s="136"/>
      <c r="BR150" s="160">
        <v>-364</v>
      </c>
      <c r="BS150" s="160">
        <v>18</v>
      </c>
      <c r="BT150" s="161">
        <v>3701</v>
      </c>
      <c r="BU150" s="125">
        <v>5095</v>
      </c>
      <c r="BV150" s="160">
        <v>0</v>
      </c>
      <c r="BX150" s="161">
        <v>-1394</v>
      </c>
      <c r="BY150" s="161">
        <v>-1</v>
      </c>
      <c r="BZ150" s="161">
        <v>-6</v>
      </c>
      <c r="CA150" s="160">
        <v>2</v>
      </c>
      <c r="CB150" s="160">
        <v>-2</v>
      </c>
      <c r="CC150" s="160">
        <v>-1405</v>
      </c>
      <c r="CD150" s="160">
        <v>1609</v>
      </c>
      <c r="CE150" s="116">
        <v>3421</v>
      </c>
      <c r="CF150" s="150"/>
      <c r="CG150" s="161">
        <v>-1281</v>
      </c>
      <c r="CH150" s="160">
        <v>-9478</v>
      </c>
      <c r="CI150" s="159">
        <v>-9132</v>
      </c>
      <c r="CK150" s="124"/>
      <c r="CL150" s="161"/>
      <c r="CM150" s="124"/>
      <c r="CN150" s="265">
        <v>21.5</v>
      </c>
      <c r="CO150" s="130"/>
      <c r="CP150" s="116">
        <v>156</v>
      </c>
      <c r="CQ150" s="267">
        <v>8903</v>
      </c>
      <c r="CR150" s="124"/>
      <c r="CS150" s="268">
        <v>0.75511978361669241</v>
      </c>
      <c r="CT150" s="269">
        <v>80.484544521931966</v>
      </c>
      <c r="CU150" s="160">
        <v>-7020.5548691452323</v>
      </c>
      <c r="CV150" s="130"/>
      <c r="CW150" s="130"/>
      <c r="CX150" s="130"/>
      <c r="CY150" s="269">
        <v>25.645537159917268</v>
      </c>
      <c r="CZ150" s="125">
        <v>738.06582050994052</v>
      </c>
      <c r="DA150" s="125">
        <v>21.831160910961025</v>
      </c>
      <c r="DB150" s="273">
        <v>12339.885431876895</v>
      </c>
      <c r="DC150" s="124"/>
      <c r="DD150" s="117">
        <v>33937</v>
      </c>
      <c r="DE150" s="117">
        <v>88781</v>
      </c>
      <c r="DF150" s="117">
        <v>62</v>
      </c>
      <c r="DG150" s="117">
        <v>-54782</v>
      </c>
      <c r="DH150" s="117">
        <v>30697</v>
      </c>
      <c r="DI150" s="117">
        <v>31869</v>
      </c>
      <c r="DJ150" s="136"/>
      <c r="DL150" s="160">
        <v>-336</v>
      </c>
      <c r="DM150" s="160">
        <v>8</v>
      </c>
      <c r="DN150" s="161">
        <v>7456</v>
      </c>
      <c r="DO150" s="116">
        <v>10149</v>
      </c>
      <c r="DP150" s="160">
        <v>0</v>
      </c>
      <c r="DR150" s="161">
        <v>-2693</v>
      </c>
      <c r="DS150" s="117">
        <v>-16</v>
      </c>
      <c r="DT150" s="117">
        <v>33</v>
      </c>
      <c r="DU150" s="116">
        <v>6</v>
      </c>
      <c r="DV150" s="116">
        <v>-8</v>
      </c>
      <c r="DW150" s="160">
        <v>-2690</v>
      </c>
      <c r="DX150" s="160">
        <v>-969</v>
      </c>
      <c r="DY150" s="116">
        <v>7380</v>
      </c>
      <c r="DZ150" s="150"/>
      <c r="EA150" s="117">
        <v>-1607</v>
      </c>
      <c r="EB150" s="116">
        <v>-9991</v>
      </c>
      <c r="EC150" s="159">
        <v>-3141</v>
      </c>
      <c r="EE150" s="125"/>
      <c r="EF150" s="161"/>
      <c r="EG150" s="124"/>
      <c r="EH150" s="253">
        <v>21</v>
      </c>
      <c r="EI150" s="130"/>
      <c r="EJ150" s="125">
        <v>212</v>
      </c>
      <c r="EK150" s="116"/>
      <c r="EL150" s="159"/>
      <c r="EN150" s="116"/>
      <c r="EO150" s="116"/>
      <c r="EP150" s="159"/>
      <c r="EQ150" s="159">
        <v>-4901</v>
      </c>
      <c r="ER150" s="116">
        <v>65</v>
      </c>
      <c r="ES150" s="116">
        <v>1088</v>
      </c>
      <c r="ET150" s="160">
        <v>-13016</v>
      </c>
      <c r="EU150" s="116">
        <v>99</v>
      </c>
      <c r="EV150" s="116">
        <v>364</v>
      </c>
      <c r="EW150" s="160">
        <v>-10683</v>
      </c>
      <c r="EX150" s="160">
        <v>93</v>
      </c>
      <c r="EY150" s="160">
        <v>69</v>
      </c>
      <c r="EZ150" s="116">
        <v>10681</v>
      </c>
      <c r="FA150" s="116">
        <v>-500</v>
      </c>
      <c r="FB150" s="116">
        <v>16510</v>
      </c>
      <c r="FC150" s="160">
        <v>500</v>
      </c>
      <c r="FD150" s="116">
        <v>15985</v>
      </c>
      <c r="FE150" s="116">
        <v>-1365</v>
      </c>
      <c r="FF150" s="3">
        <v>47543</v>
      </c>
      <c r="FG150" s="3">
        <v>33470</v>
      </c>
      <c r="FH150" s="3">
        <v>14073</v>
      </c>
      <c r="FI150" s="3">
        <v>54</v>
      </c>
      <c r="FJ150" s="125">
        <v>55080</v>
      </c>
      <c r="FK150" s="160">
        <v>39515</v>
      </c>
      <c r="FL150" s="125">
        <v>15565</v>
      </c>
      <c r="FM150" s="116">
        <v>54</v>
      </c>
      <c r="FN150" s="125">
        <v>59878</v>
      </c>
      <c r="FO150" s="116">
        <v>45390</v>
      </c>
      <c r="FP150" s="116">
        <v>14488</v>
      </c>
      <c r="FQ150" s="116">
        <v>-1607</v>
      </c>
      <c r="FR150" s="153">
        <v>124</v>
      </c>
      <c r="FS150" s="153">
        <v>78</v>
      </c>
      <c r="FT150" s="276">
        <v>1177</v>
      </c>
      <c r="FU150" s="3">
        <v>745</v>
      </c>
      <c r="FV150" s="159">
        <v>7828</v>
      </c>
      <c r="FW150" s="170"/>
      <c r="FZ150" s="155"/>
      <c r="GA150" s="2"/>
      <c r="GD150" s="163"/>
      <c r="GE150" s="2"/>
      <c r="GF150" s="2"/>
    </row>
    <row r="151" spans="1:188" ht="14.5" x14ac:dyDescent="0.35">
      <c r="A151" s="72">
        <v>495</v>
      </c>
      <c r="B151" s="70" t="s">
        <v>148</v>
      </c>
      <c r="C151" s="158">
        <v>1584</v>
      </c>
      <c r="D151" s="171"/>
      <c r="E151" s="128">
        <v>1.2531645569620253</v>
      </c>
      <c r="F151" s="128">
        <v>35.724055902468038</v>
      </c>
      <c r="G151" s="129">
        <v>-2234.2171717171718</v>
      </c>
      <c r="H151" s="216"/>
      <c r="I151" s="172"/>
      <c r="J151" s="218"/>
      <c r="K151" s="128">
        <v>48.732458125848801</v>
      </c>
      <c r="L151" s="129">
        <v>1108.5858585858587</v>
      </c>
      <c r="M151" s="129">
        <v>35.411049723756904</v>
      </c>
      <c r="N151" s="129">
        <v>11426.767676767677</v>
      </c>
      <c r="O151" s="129"/>
      <c r="P151" s="117">
        <v>5658</v>
      </c>
      <c r="Q151" s="161">
        <v>16182</v>
      </c>
      <c r="R151" s="161">
        <v>0</v>
      </c>
      <c r="S151" s="161">
        <v>-10524</v>
      </c>
      <c r="T151" s="124">
        <v>5379</v>
      </c>
      <c r="U151" s="124">
        <v>5778</v>
      </c>
      <c r="V151" s="136"/>
      <c r="X151" s="116">
        <v>-4</v>
      </c>
      <c r="Y151" s="116">
        <v>-46</v>
      </c>
      <c r="Z151" s="161">
        <v>583</v>
      </c>
      <c r="AA151" s="116">
        <v>651</v>
      </c>
      <c r="AB151" s="116">
        <v>0</v>
      </c>
      <c r="AD151" s="161">
        <v>-68</v>
      </c>
      <c r="AE151" s="116">
        <v>-1</v>
      </c>
      <c r="AF151" s="116">
        <v>12</v>
      </c>
      <c r="AG151" s="116">
        <v>0</v>
      </c>
      <c r="AH151" s="116">
        <v>0</v>
      </c>
      <c r="AI151" s="160">
        <v>-57</v>
      </c>
      <c r="AJ151" s="161">
        <v>1112</v>
      </c>
      <c r="AK151" s="161">
        <v>482</v>
      </c>
      <c r="AL151" s="150"/>
      <c r="AM151" s="161">
        <v>569</v>
      </c>
      <c r="AN151" s="161">
        <v>-463</v>
      </c>
      <c r="AO151" s="160">
        <v>-752</v>
      </c>
      <c r="AQ151" s="160"/>
      <c r="AR151" s="117"/>
      <c r="AS151" s="117"/>
      <c r="AT151" s="99">
        <v>22</v>
      </c>
      <c r="AU151" s="130"/>
      <c r="AV151" s="262">
        <v>192</v>
      </c>
      <c r="AW151" s="267">
        <v>1566</v>
      </c>
      <c r="AX151" s="124"/>
      <c r="AY151" s="256">
        <v>-3.5446153846153847</v>
      </c>
      <c r="AZ151" s="259">
        <v>40.529367858988344</v>
      </c>
      <c r="BA151" s="160">
        <v>-2738.8250319284803</v>
      </c>
      <c r="BB151" s="130"/>
      <c r="BC151" s="130"/>
      <c r="BD151" s="130"/>
      <c r="BE151" s="128">
        <v>34.706581800377698</v>
      </c>
      <c r="BF151" s="160">
        <v>1320.5619412515964</v>
      </c>
      <c r="BG151" s="129">
        <v>31.197947071414674</v>
      </c>
      <c r="BH151" s="131">
        <v>13126.436781609194</v>
      </c>
      <c r="BI151" s="124"/>
      <c r="BJ151" s="117">
        <v>5936</v>
      </c>
      <c r="BK151" s="117">
        <v>18580</v>
      </c>
      <c r="BL151" s="161">
        <v>0</v>
      </c>
      <c r="BM151" s="161">
        <v>-12644</v>
      </c>
      <c r="BN151" s="117">
        <v>5647</v>
      </c>
      <c r="BO151" s="117">
        <v>5834</v>
      </c>
      <c r="BP151" s="136"/>
      <c r="BR151" s="160">
        <v>-4</v>
      </c>
      <c r="BS151" s="160">
        <v>7</v>
      </c>
      <c r="BT151" s="161">
        <v>-1160</v>
      </c>
      <c r="BU151" s="125">
        <v>865</v>
      </c>
      <c r="BV151" s="160">
        <v>0</v>
      </c>
      <c r="BX151" s="161">
        <v>-2025</v>
      </c>
      <c r="BY151" s="160">
        <v>-23</v>
      </c>
      <c r="BZ151" s="160">
        <v>-1</v>
      </c>
      <c r="CA151" s="160">
        <v>0</v>
      </c>
      <c r="CB151" s="160">
        <v>0</v>
      </c>
      <c r="CC151" s="160">
        <v>-2049</v>
      </c>
      <c r="CD151" s="160">
        <v>-851</v>
      </c>
      <c r="CE151" s="116">
        <v>379</v>
      </c>
      <c r="CF151" s="150"/>
      <c r="CG151" s="160">
        <v>571</v>
      </c>
      <c r="CH151" s="160">
        <v>-317</v>
      </c>
      <c r="CI151" s="159">
        <v>-738</v>
      </c>
      <c r="CK151" s="124"/>
      <c r="CL151" s="161"/>
      <c r="CM151" s="124"/>
      <c r="CN151" s="265">
        <v>22</v>
      </c>
      <c r="CO151" s="130"/>
      <c r="CP151" s="116">
        <v>290</v>
      </c>
      <c r="CQ151" s="267">
        <v>1558</v>
      </c>
      <c r="CR151" s="124"/>
      <c r="CS151" s="270">
        <v>5.5889570552147241</v>
      </c>
      <c r="CT151" s="269">
        <v>42.916329830234439</v>
      </c>
      <c r="CU151" s="160">
        <v>-3656.6110397946081</v>
      </c>
      <c r="CV151" s="130"/>
      <c r="CW151" s="130"/>
      <c r="CX151" s="130"/>
      <c r="CY151" s="269">
        <v>39.940144198068289</v>
      </c>
      <c r="CZ151" s="125">
        <v>1436.456996148909</v>
      </c>
      <c r="DA151" s="125">
        <v>41.562531800142466</v>
      </c>
      <c r="DB151" s="273">
        <v>12614.890885750963</v>
      </c>
      <c r="DC151" s="124"/>
      <c r="DD151" s="117">
        <v>7831</v>
      </c>
      <c r="DE151" s="117">
        <v>17969</v>
      </c>
      <c r="DF151" s="117">
        <v>0</v>
      </c>
      <c r="DG151" s="117">
        <v>-10138</v>
      </c>
      <c r="DH151" s="117">
        <v>5816</v>
      </c>
      <c r="DI151" s="117">
        <v>6145</v>
      </c>
      <c r="DJ151" s="136"/>
      <c r="DL151" s="160">
        <v>-7</v>
      </c>
      <c r="DM151" s="160">
        <v>-4</v>
      </c>
      <c r="DN151" s="161">
        <v>1812</v>
      </c>
      <c r="DO151" s="116">
        <v>843</v>
      </c>
      <c r="DP151" s="160">
        <v>0</v>
      </c>
      <c r="DR151" s="161">
        <v>969</v>
      </c>
      <c r="DS151" s="116">
        <v>-12</v>
      </c>
      <c r="DT151" s="116">
        <v>5</v>
      </c>
      <c r="DU151" s="116">
        <v>0</v>
      </c>
      <c r="DV151" s="116">
        <v>0</v>
      </c>
      <c r="DW151" s="160">
        <v>962</v>
      </c>
      <c r="DX151" s="160">
        <v>64</v>
      </c>
      <c r="DY151" s="116">
        <v>-216</v>
      </c>
      <c r="DZ151" s="150"/>
      <c r="EA151" s="116">
        <v>197</v>
      </c>
      <c r="EB151" s="116">
        <v>-316</v>
      </c>
      <c r="EC151" s="159">
        <v>-1382</v>
      </c>
      <c r="EE151" s="125"/>
      <c r="EF151" s="161"/>
      <c r="EG151" s="124"/>
      <c r="EH151" s="253">
        <v>22</v>
      </c>
      <c r="EI151" s="130"/>
      <c r="EJ151" s="125">
        <v>88</v>
      </c>
      <c r="EK151" s="116"/>
      <c r="EL151" s="159"/>
      <c r="EN151" s="116"/>
      <c r="EO151" s="116"/>
      <c r="EP151" s="159"/>
      <c r="EQ151" s="159">
        <v>-1387</v>
      </c>
      <c r="ER151" s="116">
        <v>28</v>
      </c>
      <c r="ES151" s="116">
        <v>125</v>
      </c>
      <c r="ET151" s="160">
        <v>-1553</v>
      </c>
      <c r="EU151" s="116">
        <v>2</v>
      </c>
      <c r="EV151" s="116">
        <v>434</v>
      </c>
      <c r="EW151" s="160">
        <v>-1304</v>
      </c>
      <c r="EX151" s="160">
        <v>1</v>
      </c>
      <c r="EY151" s="160">
        <v>137</v>
      </c>
      <c r="EZ151" s="116">
        <v>703</v>
      </c>
      <c r="FA151" s="116">
        <v>194</v>
      </c>
      <c r="FB151" s="116">
        <v>1434</v>
      </c>
      <c r="FC151" s="160">
        <v>-214</v>
      </c>
      <c r="FD151" s="116">
        <v>315</v>
      </c>
      <c r="FE151" s="116">
        <v>1763</v>
      </c>
      <c r="FF151" s="3">
        <v>3356</v>
      </c>
      <c r="FG151" s="3">
        <v>2352</v>
      </c>
      <c r="FH151" s="3">
        <v>1004</v>
      </c>
      <c r="FI151" s="3">
        <v>-5</v>
      </c>
      <c r="FJ151" s="125">
        <v>4275</v>
      </c>
      <c r="FK151" s="160">
        <v>3549</v>
      </c>
      <c r="FL151" s="125">
        <v>726</v>
      </c>
      <c r="FM151" s="116">
        <v>0</v>
      </c>
      <c r="FN151" s="125">
        <v>6038</v>
      </c>
      <c r="FO151" s="116">
        <v>3602</v>
      </c>
      <c r="FP151" s="116">
        <v>2436</v>
      </c>
      <c r="FQ151" s="116">
        <v>197</v>
      </c>
      <c r="FR151" s="153">
        <v>2826</v>
      </c>
      <c r="FS151" s="153">
        <v>3046</v>
      </c>
      <c r="FT151" s="276">
        <v>1068</v>
      </c>
      <c r="FU151" s="3">
        <v>4037</v>
      </c>
      <c r="FV151" s="159">
        <v>3768</v>
      </c>
      <c r="FW151" s="170"/>
      <c r="FZ151" s="155"/>
      <c r="GA151" s="2"/>
      <c r="GD151" s="163"/>
      <c r="GE151" s="2"/>
      <c r="GF151" s="2"/>
    </row>
    <row r="152" spans="1:188" ht="14.5" x14ac:dyDescent="0.35">
      <c r="A152" s="72">
        <v>498</v>
      </c>
      <c r="B152" s="70" t="s">
        <v>149</v>
      </c>
      <c r="C152" s="158">
        <v>2299</v>
      </c>
      <c r="D152" s="171"/>
      <c r="E152" s="128">
        <v>1.1648444070647603</v>
      </c>
      <c r="F152" s="128">
        <v>49.80946991133748</v>
      </c>
      <c r="G152" s="129">
        <v>-4565.8982166159194</v>
      </c>
      <c r="H152" s="216"/>
      <c r="I152" s="172"/>
      <c r="J152" s="218"/>
      <c r="K152" s="128">
        <v>21.271816139623294</v>
      </c>
      <c r="L152" s="129">
        <v>534.58025228360157</v>
      </c>
      <c r="M152" s="129">
        <v>16.288489469862018</v>
      </c>
      <c r="N152" s="129">
        <v>11979.121357111788</v>
      </c>
      <c r="O152" s="129"/>
      <c r="P152" s="117">
        <v>8627</v>
      </c>
      <c r="Q152" s="161">
        <v>25127</v>
      </c>
      <c r="R152" s="161">
        <v>0</v>
      </c>
      <c r="S152" s="161">
        <v>-16500</v>
      </c>
      <c r="T152" s="124">
        <v>8650</v>
      </c>
      <c r="U152" s="124">
        <v>9228</v>
      </c>
      <c r="V152" s="136"/>
      <c r="X152" s="116">
        <v>-77</v>
      </c>
      <c r="Y152" s="116">
        <v>4</v>
      </c>
      <c r="Z152" s="161">
        <v>1305</v>
      </c>
      <c r="AA152" s="116">
        <v>1373</v>
      </c>
      <c r="AB152" s="116">
        <v>9</v>
      </c>
      <c r="AD152" s="161">
        <v>-59</v>
      </c>
      <c r="AE152" s="116">
        <v>0</v>
      </c>
      <c r="AF152" s="116">
        <v>34</v>
      </c>
      <c r="AG152" s="116">
        <v>0</v>
      </c>
      <c r="AH152" s="117">
        <v>5</v>
      </c>
      <c r="AI152" s="160">
        <v>-20</v>
      </c>
      <c r="AJ152" s="161">
        <v>738</v>
      </c>
      <c r="AK152" s="161">
        <v>1306</v>
      </c>
      <c r="AL152" s="150"/>
      <c r="AM152" s="161">
        <v>-218</v>
      </c>
      <c r="AN152" s="161">
        <v>-1109</v>
      </c>
      <c r="AO152" s="160">
        <v>241</v>
      </c>
      <c r="AQ152" s="160"/>
      <c r="AR152" s="117"/>
      <c r="AS152" s="117"/>
      <c r="AT152" s="99">
        <v>21.5</v>
      </c>
      <c r="AU152" s="130"/>
      <c r="AV152" s="262">
        <v>125</v>
      </c>
      <c r="AW152" s="267">
        <v>2308</v>
      </c>
      <c r="AX152" s="124"/>
      <c r="AY152" s="255">
        <v>0.57091237579042453</v>
      </c>
      <c r="AZ152" s="259">
        <v>51.725427150708491</v>
      </c>
      <c r="BA152" s="160">
        <v>-4735.7019064124779</v>
      </c>
      <c r="BB152" s="130"/>
      <c r="BC152" s="130"/>
      <c r="BD152" s="130"/>
      <c r="BE152" s="128">
        <v>16.651168197140532</v>
      </c>
      <c r="BF152" s="160">
        <v>682.40901213171583</v>
      </c>
      <c r="BG152" s="129">
        <v>15.83483356278019</v>
      </c>
      <c r="BH152" s="131">
        <v>12274.263431542462</v>
      </c>
      <c r="BI152" s="124"/>
      <c r="BJ152" s="117">
        <v>8725</v>
      </c>
      <c r="BK152" s="117">
        <v>26117</v>
      </c>
      <c r="BL152" s="161">
        <v>0</v>
      </c>
      <c r="BM152" s="161">
        <v>-17392</v>
      </c>
      <c r="BN152" s="117">
        <v>8856</v>
      </c>
      <c r="BO152" s="117">
        <v>9166</v>
      </c>
      <c r="BP152" s="136"/>
      <c r="BR152" s="160">
        <v>-48</v>
      </c>
      <c r="BS152" s="160">
        <v>0</v>
      </c>
      <c r="BT152" s="161">
        <v>582</v>
      </c>
      <c r="BU152" s="125">
        <v>1405</v>
      </c>
      <c r="BV152" s="160">
        <v>0</v>
      </c>
      <c r="BW152" s="117"/>
      <c r="BX152" s="161">
        <v>-823</v>
      </c>
      <c r="BY152" s="160">
        <v>0</v>
      </c>
      <c r="BZ152" s="161">
        <v>59</v>
      </c>
      <c r="CA152" s="161">
        <v>0</v>
      </c>
      <c r="CB152" s="161">
        <v>0</v>
      </c>
      <c r="CC152" s="160">
        <v>-764</v>
      </c>
      <c r="CD152" s="160">
        <v>-102</v>
      </c>
      <c r="CE152" s="116">
        <v>574</v>
      </c>
      <c r="CF152" s="150"/>
      <c r="CG152" s="161">
        <v>147</v>
      </c>
      <c r="CH152" s="160">
        <v>-1057</v>
      </c>
      <c r="CI152" s="159">
        <v>-461</v>
      </c>
      <c r="CK152" s="124"/>
      <c r="CL152" s="161"/>
      <c r="CM152" s="124"/>
      <c r="CN152" s="265">
        <v>21.5</v>
      </c>
      <c r="CO152" s="130"/>
      <c r="CP152" s="116">
        <v>227</v>
      </c>
      <c r="CQ152" s="267">
        <v>2297</v>
      </c>
      <c r="CR152" s="124"/>
      <c r="CS152" s="268">
        <v>2.5317919075144508</v>
      </c>
      <c r="CT152" s="269">
        <v>44.305995301807783</v>
      </c>
      <c r="CU152" s="160">
        <v>-4167.174575533305</v>
      </c>
      <c r="CV152" s="130"/>
      <c r="CW152" s="130"/>
      <c r="CX152" s="130"/>
      <c r="CY152" s="269">
        <v>24.951256197426328</v>
      </c>
      <c r="CZ152" s="125">
        <v>818.02350892468439</v>
      </c>
      <c r="DA152" s="125">
        <v>23.441740438185736</v>
      </c>
      <c r="DB152" s="273">
        <v>12737.048323900741</v>
      </c>
      <c r="DC152" s="124"/>
      <c r="DD152" s="117">
        <v>9220</v>
      </c>
      <c r="DE152" s="117">
        <v>26309</v>
      </c>
      <c r="DF152" s="117">
        <v>0</v>
      </c>
      <c r="DG152" s="117">
        <v>-17089</v>
      </c>
      <c r="DH152" s="117">
        <v>9933</v>
      </c>
      <c r="DI152" s="117">
        <v>10220</v>
      </c>
      <c r="DJ152" s="136"/>
      <c r="DL152" s="160">
        <v>-39</v>
      </c>
      <c r="DM152" s="160">
        <v>0</v>
      </c>
      <c r="DN152" s="161">
        <v>3025</v>
      </c>
      <c r="DO152" s="116">
        <v>1411</v>
      </c>
      <c r="DP152" s="160">
        <v>-1</v>
      </c>
      <c r="DQ152" s="117"/>
      <c r="DR152" s="161">
        <v>1613</v>
      </c>
      <c r="DS152" s="116">
        <v>0</v>
      </c>
      <c r="DT152" s="117">
        <v>53</v>
      </c>
      <c r="DU152" s="117">
        <v>0</v>
      </c>
      <c r="DV152" s="117">
        <v>4</v>
      </c>
      <c r="DW152" s="160">
        <v>1670</v>
      </c>
      <c r="DX152" s="160">
        <v>1514</v>
      </c>
      <c r="DY152" s="116">
        <v>2960</v>
      </c>
      <c r="DZ152" s="150"/>
      <c r="EA152" s="117">
        <v>-235</v>
      </c>
      <c r="EB152" s="116">
        <v>-1170</v>
      </c>
      <c r="EC152" s="159">
        <v>1341</v>
      </c>
      <c r="EE152" s="125"/>
      <c r="EF152" s="161"/>
      <c r="EG152" s="124"/>
      <c r="EH152" s="253">
        <v>21.5</v>
      </c>
      <c r="EI152" s="130"/>
      <c r="EJ152" s="125">
        <v>50</v>
      </c>
      <c r="EK152" s="116"/>
      <c r="EL152" s="159"/>
      <c r="EN152" s="116"/>
      <c r="EO152" s="116"/>
      <c r="EP152" s="159"/>
      <c r="EQ152" s="159">
        <v>-1227</v>
      </c>
      <c r="ER152" s="116">
        <v>51</v>
      </c>
      <c r="ES152" s="116">
        <v>111</v>
      </c>
      <c r="ET152" s="160">
        <v>-1091</v>
      </c>
      <c r="EU152" s="116">
        <v>45</v>
      </c>
      <c r="EV152" s="116">
        <v>11</v>
      </c>
      <c r="EW152" s="160">
        <v>-1706</v>
      </c>
      <c r="EX152" s="160">
        <v>65</v>
      </c>
      <c r="EY152" s="160">
        <v>22</v>
      </c>
      <c r="EZ152" s="116">
        <v>19</v>
      </c>
      <c r="FA152" s="116">
        <v>389</v>
      </c>
      <c r="FB152" s="116">
        <v>1759</v>
      </c>
      <c r="FC152" s="160">
        <v>92</v>
      </c>
      <c r="FD152" s="116">
        <v>539</v>
      </c>
      <c r="FE152" s="116">
        <v>-506</v>
      </c>
      <c r="FF152" s="3">
        <v>8900</v>
      </c>
      <c r="FG152" s="3">
        <v>4944</v>
      </c>
      <c r="FH152" s="3">
        <v>3956</v>
      </c>
      <c r="FI152" s="3">
        <v>31</v>
      </c>
      <c r="FJ152" s="125">
        <v>9700</v>
      </c>
      <c r="FK152" s="160">
        <v>5531</v>
      </c>
      <c r="FL152" s="125">
        <v>4169</v>
      </c>
      <c r="FM152" s="116">
        <v>5</v>
      </c>
      <c r="FN152" s="125">
        <v>8490</v>
      </c>
      <c r="FO152" s="116">
        <v>5013</v>
      </c>
      <c r="FP152" s="116">
        <v>3477</v>
      </c>
      <c r="FQ152" s="116">
        <v>-235</v>
      </c>
      <c r="FR152" s="153">
        <v>0</v>
      </c>
      <c r="FS152" s="153">
        <v>0</v>
      </c>
      <c r="FT152" s="276">
        <v>400</v>
      </c>
      <c r="FU152" s="3">
        <v>4811</v>
      </c>
      <c r="FV152" s="159">
        <v>4831</v>
      </c>
      <c r="FW152" s="170"/>
      <c r="FZ152" s="155"/>
      <c r="GA152" s="2"/>
      <c r="GD152" s="163"/>
      <c r="GE152" s="2"/>
      <c r="GF152" s="2"/>
    </row>
    <row r="153" spans="1:188" ht="14.5" x14ac:dyDescent="0.35">
      <c r="A153" s="72">
        <v>499</v>
      </c>
      <c r="B153" s="70" t="s">
        <v>150</v>
      </c>
      <c r="C153" s="158">
        <v>19444</v>
      </c>
      <c r="D153" s="171"/>
      <c r="E153" s="128">
        <v>0.62259917429545863</v>
      </c>
      <c r="F153" s="128">
        <v>78.76591672406542</v>
      </c>
      <c r="G153" s="129">
        <v>-5790.3723513680316</v>
      </c>
      <c r="H153" s="216"/>
      <c r="I153" s="172"/>
      <c r="J153" s="218"/>
      <c r="K153" s="128">
        <v>30.089338448522643</v>
      </c>
      <c r="L153" s="129">
        <v>395.39189467187822</v>
      </c>
      <c r="M153" s="129">
        <v>14.252511605700761</v>
      </c>
      <c r="N153" s="129">
        <v>10125.797161077968</v>
      </c>
      <c r="O153" s="129"/>
      <c r="P153" s="117">
        <v>56879</v>
      </c>
      <c r="Q153" s="161">
        <v>157487</v>
      </c>
      <c r="R153" s="161">
        <v>272</v>
      </c>
      <c r="S153" s="161">
        <v>-100336</v>
      </c>
      <c r="T153" s="124">
        <v>75323</v>
      </c>
      <c r="U153" s="124">
        <v>31855</v>
      </c>
      <c r="V153" s="136"/>
      <c r="X153" s="116">
        <v>-522</v>
      </c>
      <c r="Y153" s="116">
        <v>92</v>
      </c>
      <c r="Z153" s="161">
        <v>6412</v>
      </c>
      <c r="AA153" s="116">
        <v>9524</v>
      </c>
      <c r="AB153" s="117">
        <v>0</v>
      </c>
      <c r="AD153" s="161">
        <v>-3112</v>
      </c>
      <c r="AE153" s="116">
        <v>16</v>
      </c>
      <c r="AF153" s="116">
        <v>24</v>
      </c>
      <c r="AG153" s="116">
        <v>-31</v>
      </c>
      <c r="AH153" s="116">
        <v>-32</v>
      </c>
      <c r="AI153" s="160">
        <v>-3135</v>
      </c>
      <c r="AJ153" s="161">
        <v>8212</v>
      </c>
      <c r="AK153" s="161">
        <v>5009</v>
      </c>
      <c r="AL153" s="150"/>
      <c r="AM153" s="161">
        <v>-1750</v>
      </c>
      <c r="AN153" s="161">
        <v>-10617</v>
      </c>
      <c r="AO153" s="160">
        <v>-20730</v>
      </c>
      <c r="AQ153" s="160"/>
      <c r="AR153" s="117"/>
      <c r="AS153" s="117"/>
      <c r="AT153" s="99">
        <v>20.75</v>
      </c>
      <c r="AU153" s="130"/>
      <c r="AV153" s="262">
        <v>204</v>
      </c>
      <c r="AW153" s="267">
        <v>19448</v>
      </c>
      <c r="AX153" s="124"/>
      <c r="AY153" s="255">
        <v>0.79240828187431889</v>
      </c>
      <c r="AZ153" s="259">
        <v>85.735529223679876</v>
      </c>
      <c r="BA153" s="160">
        <v>-6679.2472233648705</v>
      </c>
      <c r="BB153" s="130"/>
      <c r="BC153" s="130"/>
      <c r="BD153" s="130"/>
      <c r="BE153" s="128">
        <v>27.4833931622669</v>
      </c>
      <c r="BF153" s="160">
        <v>347.43932538050188</v>
      </c>
      <c r="BG153" s="129">
        <v>13.906484624724335</v>
      </c>
      <c r="BH153" s="131">
        <v>10375.617030028796</v>
      </c>
      <c r="BI153" s="124"/>
      <c r="BJ153" s="117">
        <v>60090</v>
      </c>
      <c r="BK153" s="117">
        <v>161850</v>
      </c>
      <c r="BL153" s="161">
        <v>236</v>
      </c>
      <c r="BM153" s="161">
        <v>-101524</v>
      </c>
      <c r="BN153" s="117">
        <v>76903</v>
      </c>
      <c r="BO153" s="117">
        <v>33143</v>
      </c>
      <c r="BP153" s="136"/>
      <c r="BR153" s="160">
        <v>-575</v>
      </c>
      <c r="BS153" s="160">
        <v>200</v>
      </c>
      <c r="BT153" s="161">
        <v>8147</v>
      </c>
      <c r="BU153" s="125">
        <v>10042</v>
      </c>
      <c r="BV153" s="161">
        <v>0</v>
      </c>
      <c r="BW153" s="117"/>
      <c r="BX153" s="161">
        <v>-1895</v>
      </c>
      <c r="BY153" s="160">
        <v>33</v>
      </c>
      <c r="BZ153" s="160">
        <v>19</v>
      </c>
      <c r="CA153" s="160">
        <v>11</v>
      </c>
      <c r="CB153" s="160">
        <v>-3</v>
      </c>
      <c r="CC153" s="160">
        <v>-1857</v>
      </c>
      <c r="CD153" s="160">
        <v>6583</v>
      </c>
      <c r="CE153" s="116">
        <v>6881</v>
      </c>
      <c r="CF153" s="150"/>
      <c r="CG153" s="161">
        <v>-267</v>
      </c>
      <c r="CH153" s="160">
        <v>-10433</v>
      </c>
      <c r="CI153" s="159">
        <v>-18147</v>
      </c>
      <c r="CK153" s="124"/>
      <c r="CL153" s="161"/>
      <c r="CM153" s="124"/>
      <c r="CN153" s="265">
        <v>20.75</v>
      </c>
      <c r="CO153" s="130"/>
      <c r="CP153" s="116">
        <v>155</v>
      </c>
      <c r="CQ153" s="267">
        <v>19453</v>
      </c>
      <c r="CR153" s="124"/>
      <c r="CS153" s="268">
        <v>1.1688573659552317</v>
      </c>
      <c r="CT153" s="269">
        <v>79.876594220863296</v>
      </c>
      <c r="CU153" s="160">
        <v>-6664.0620983909939</v>
      </c>
      <c r="CV153" s="130"/>
      <c r="CW153" s="130"/>
      <c r="CX153" s="130"/>
      <c r="CY153" s="269">
        <v>30.195301524409118</v>
      </c>
      <c r="CZ153" s="125">
        <v>368.94052331259957</v>
      </c>
      <c r="DA153" s="125">
        <v>13.068946593828731</v>
      </c>
      <c r="DB153" s="273">
        <v>10304.066210867217</v>
      </c>
      <c r="DC153" s="124"/>
      <c r="DD153" s="117">
        <v>59934</v>
      </c>
      <c r="DE153" s="117">
        <v>163901</v>
      </c>
      <c r="DF153" s="117">
        <v>-24</v>
      </c>
      <c r="DG153" s="117">
        <v>-103991</v>
      </c>
      <c r="DH153" s="117">
        <v>79370</v>
      </c>
      <c r="DI153" s="117">
        <v>42211</v>
      </c>
      <c r="DJ153" s="136"/>
      <c r="DL153" s="160">
        <v>-535</v>
      </c>
      <c r="DM153" s="160">
        <v>366</v>
      </c>
      <c r="DN153" s="161">
        <v>17421</v>
      </c>
      <c r="DO153" s="116">
        <v>11184</v>
      </c>
      <c r="DP153" s="161">
        <v>1572</v>
      </c>
      <c r="DQ153" s="117"/>
      <c r="DR153" s="161">
        <v>7809</v>
      </c>
      <c r="DS153" s="116">
        <v>31</v>
      </c>
      <c r="DT153" s="116">
        <v>0</v>
      </c>
      <c r="DU153" s="116">
        <v>8</v>
      </c>
      <c r="DV153" s="116">
        <v>-23</v>
      </c>
      <c r="DW153" s="160">
        <v>7809</v>
      </c>
      <c r="DX153" s="160">
        <v>14389</v>
      </c>
      <c r="DY153" s="116">
        <v>16973</v>
      </c>
      <c r="DZ153" s="150"/>
      <c r="EA153" s="117">
        <v>746</v>
      </c>
      <c r="EB153" s="116">
        <v>-14826</v>
      </c>
      <c r="EC153" s="159">
        <v>-1199</v>
      </c>
      <c r="EE153" s="125"/>
      <c r="EF153" s="161"/>
      <c r="EG153" s="124"/>
      <c r="EH153" s="253">
        <v>20.75</v>
      </c>
      <c r="EI153" s="130"/>
      <c r="EJ153" s="125">
        <v>194</v>
      </c>
      <c r="EK153" s="116"/>
      <c r="EL153" s="159"/>
      <c r="EN153" s="116"/>
      <c r="EO153" s="116"/>
      <c r="EP153" s="159"/>
      <c r="EQ153" s="159">
        <v>-28191</v>
      </c>
      <c r="ER153" s="116">
        <v>1017</v>
      </c>
      <c r="ES153" s="116">
        <v>1435</v>
      </c>
      <c r="ET153" s="160">
        <v>-28827</v>
      </c>
      <c r="EU153" s="116">
        <v>2315</v>
      </c>
      <c r="EV153" s="116">
        <v>1484</v>
      </c>
      <c r="EW153" s="160">
        <v>-21119</v>
      </c>
      <c r="EX153" s="160">
        <v>839</v>
      </c>
      <c r="EY153" s="160">
        <v>2108</v>
      </c>
      <c r="EZ153" s="116">
        <v>3776</v>
      </c>
      <c r="FA153" s="116">
        <v>25332</v>
      </c>
      <c r="FB153" s="116">
        <v>30358</v>
      </c>
      <c r="FC153" s="160">
        <v>-1645</v>
      </c>
      <c r="FD153" s="116">
        <v>29125</v>
      </c>
      <c r="FE153" s="116">
        <v>-15858</v>
      </c>
      <c r="FF153" s="3">
        <v>95233</v>
      </c>
      <c r="FG153" s="3">
        <v>39099</v>
      </c>
      <c r="FH153" s="3">
        <v>56134</v>
      </c>
      <c r="FI153" s="3">
        <v>29</v>
      </c>
      <c r="FJ153" s="125">
        <v>113515</v>
      </c>
      <c r="FK153" s="160">
        <v>54639</v>
      </c>
      <c r="FL153" s="125">
        <v>58876</v>
      </c>
      <c r="FM153" s="116">
        <v>22</v>
      </c>
      <c r="FN153" s="125">
        <v>111956</v>
      </c>
      <c r="FO153" s="116">
        <v>67946</v>
      </c>
      <c r="FP153" s="116">
        <v>44010</v>
      </c>
      <c r="FQ153" s="116">
        <v>746</v>
      </c>
      <c r="FR153" s="153">
        <v>70</v>
      </c>
      <c r="FS153" s="153">
        <v>66</v>
      </c>
      <c r="FT153" s="276">
        <v>62</v>
      </c>
      <c r="FU153" s="3">
        <v>2633</v>
      </c>
      <c r="FV153" s="159">
        <v>2364</v>
      </c>
      <c r="FW153" s="170"/>
      <c r="FZ153" s="155"/>
      <c r="GA153" s="2"/>
      <c r="GD153" s="163"/>
      <c r="GE153" s="2"/>
      <c r="GF153" s="2"/>
    </row>
    <row r="154" spans="1:188" ht="14.5" x14ac:dyDescent="0.35">
      <c r="A154" s="72">
        <v>500</v>
      </c>
      <c r="B154" s="70" t="s">
        <v>151</v>
      </c>
      <c r="C154" s="158">
        <v>10170</v>
      </c>
      <c r="D154" s="171"/>
      <c r="E154" s="128">
        <v>1.4662946428571428</v>
      </c>
      <c r="F154" s="128">
        <v>83.626324973305202</v>
      </c>
      <c r="G154" s="129">
        <v>-5502.8515240904626</v>
      </c>
      <c r="H154" s="216"/>
      <c r="I154" s="172"/>
      <c r="J154" s="218"/>
      <c r="K154" s="128">
        <v>28.877105153371538</v>
      </c>
      <c r="L154" s="129">
        <v>222.61553588987218</v>
      </c>
      <c r="M154" s="129">
        <v>10.068965517241379</v>
      </c>
      <c r="N154" s="129">
        <v>8069.8131760078659</v>
      </c>
      <c r="O154" s="129"/>
      <c r="P154" s="117">
        <v>24135</v>
      </c>
      <c r="Q154" s="161">
        <v>70576</v>
      </c>
      <c r="R154" s="161">
        <v>-52</v>
      </c>
      <c r="S154" s="161">
        <v>-46493</v>
      </c>
      <c r="T154" s="124">
        <v>39403</v>
      </c>
      <c r="U154" s="124">
        <v>13256</v>
      </c>
      <c r="V154" s="136"/>
      <c r="X154" s="116">
        <v>-317</v>
      </c>
      <c r="Y154" s="116">
        <v>365</v>
      </c>
      <c r="Z154" s="161">
        <v>6214</v>
      </c>
      <c r="AA154" s="116">
        <v>6128</v>
      </c>
      <c r="AB154" s="116">
        <v>0</v>
      </c>
      <c r="AD154" s="161">
        <v>86</v>
      </c>
      <c r="AE154" s="117">
        <v>0</v>
      </c>
      <c r="AF154" s="117">
        <v>-1</v>
      </c>
      <c r="AG154" s="116">
        <v>-34</v>
      </c>
      <c r="AH154" s="116">
        <v>-43</v>
      </c>
      <c r="AI154" s="160">
        <v>8</v>
      </c>
      <c r="AJ154" s="161">
        <v>4734</v>
      </c>
      <c r="AK154" s="161">
        <v>5419</v>
      </c>
      <c r="AL154" s="150"/>
      <c r="AM154" s="161">
        <v>332</v>
      </c>
      <c r="AN154" s="161">
        <v>-4125</v>
      </c>
      <c r="AO154" s="160">
        <v>-292</v>
      </c>
      <c r="AQ154" s="160"/>
      <c r="AR154" s="117"/>
      <c r="AS154" s="117"/>
      <c r="AT154" s="99">
        <v>19.5</v>
      </c>
      <c r="AU154" s="130"/>
      <c r="AV154" s="262">
        <v>107</v>
      </c>
      <c r="AW154" s="267">
        <v>10164</v>
      </c>
      <c r="AX154" s="124"/>
      <c r="AY154" s="255">
        <v>1.3332468206592265</v>
      </c>
      <c r="AZ154" s="259">
        <v>83.889849503682356</v>
      </c>
      <c r="BA154" s="160">
        <v>-5803.9157811885088</v>
      </c>
      <c r="BB154" s="130"/>
      <c r="BC154" s="130"/>
      <c r="BD154" s="130"/>
      <c r="BE154" s="128">
        <v>27.791682605606862</v>
      </c>
      <c r="BF154" s="160">
        <v>292.89649744195202</v>
      </c>
      <c r="BG154" s="129">
        <v>9.6574614045134215</v>
      </c>
      <c r="BH154" s="131">
        <v>8418.6343959071237</v>
      </c>
      <c r="BI154" s="124"/>
      <c r="BJ154" s="117">
        <v>24636</v>
      </c>
      <c r="BK154" s="117">
        <v>73066</v>
      </c>
      <c r="BL154" s="161">
        <v>-69</v>
      </c>
      <c r="BM154" s="161">
        <v>-48499</v>
      </c>
      <c r="BN154" s="117">
        <v>40052</v>
      </c>
      <c r="BO154" s="117">
        <v>13387</v>
      </c>
      <c r="BP154" s="136"/>
      <c r="BR154" s="160">
        <v>-254</v>
      </c>
      <c r="BS154" s="160">
        <v>152</v>
      </c>
      <c r="BT154" s="161">
        <v>4838</v>
      </c>
      <c r="BU154" s="125">
        <v>5831</v>
      </c>
      <c r="BV154" s="160">
        <v>0</v>
      </c>
      <c r="BW154" s="117"/>
      <c r="BX154" s="161">
        <v>-993</v>
      </c>
      <c r="BY154" s="161">
        <v>0</v>
      </c>
      <c r="BZ154" s="160">
        <v>1</v>
      </c>
      <c r="CA154" s="160">
        <v>51</v>
      </c>
      <c r="CB154" s="160">
        <v>-84</v>
      </c>
      <c r="CC154" s="160">
        <v>-1127</v>
      </c>
      <c r="CD154" s="160">
        <v>3826</v>
      </c>
      <c r="CE154" s="116">
        <v>3713</v>
      </c>
      <c r="CF154" s="150"/>
      <c r="CG154" s="161">
        <v>2537</v>
      </c>
      <c r="CH154" s="160">
        <v>-3554</v>
      </c>
      <c r="CI154" s="159">
        <v>-3111</v>
      </c>
      <c r="CK154" s="124"/>
      <c r="CL154" s="161"/>
      <c r="CM154" s="124"/>
      <c r="CN154" s="265">
        <v>19.5</v>
      </c>
      <c r="CO154" s="130"/>
      <c r="CP154" s="116">
        <v>128</v>
      </c>
      <c r="CQ154" s="267">
        <v>10267</v>
      </c>
      <c r="CR154" s="124"/>
      <c r="CS154" s="268">
        <v>3.6766344180592201</v>
      </c>
      <c r="CT154" s="269">
        <v>71.996439530580219</v>
      </c>
      <c r="CU154" s="160">
        <v>-5299.7954611863252</v>
      </c>
      <c r="CV154" s="130"/>
      <c r="CW154" s="130"/>
      <c r="CX154" s="130"/>
      <c r="CY154" s="269">
        <v>33.499887656077803</v>
      </c>
      <c r="CZ154" s="125">
        <v>355.50793805395932</v>
      </c>
      <c r="DA154" s="125">
        <v>15.791314036460186</v>
      </c>
      <c r="DB154" s="273">
        <v>8217.2007402357067</v>
      </c>
      <c r="DC154" s="124"/>
      <c r="DD154" s="117">
        <v>24926</v>
      </c>
      <c r="DE154" s="117">
        <v>72962</v>
      </c>
      <c r="DF154" s="117">
        <v>-42</v>
      </c>
      <c r="DG154" s="117">
        <v>-48078</v>
      </c>
      <c r="DH154" s="117">
        <v>42260</v>
      </c>
      <c r="DI154" s="117">
        <v>18196</v>
      </c>
      <c r="DJ154" s="136"/>
      <c r="DL154" s="160">
        <v>-204</v>
      </c>
      <c r="DM154" s="160">
        <v>113</v>
      </c>
      <c r="DN154" s="161">
        <v>12287</v>
      </c>
      <c r="DO154" s="116">
        <v>6225</v>
      </c>
      <c r="DP154" s="160">
        <v>0</v>
      </c>
      <c r="DQ154" s="117"/>
      <c r="DR154" s="161">
        <v>6062</v>
      </c>
      <c r="DS154" s="117">
        <v>3</v>
      </c>
      <c r="DT154" s="116">
        <v>-4</v>
      </c>
      <c r="DU154" s="116">
        <v>122</v>
      </c>
      <c r="DV154" s="116">
        <v>-43</v>
      </c>
      <c r="DW154" s="160">
        <v>5896</v>
      </c>
      <c r="DX154" s="160">
        <v>9707</v>
      </c>
      <c r="DY154" s="116">
        <v>11266</v>
      </c>
      <c r="DZ154" s="150"/>
      <c r="EA154" s="117">
        <v>120</v>
      </c>
      <c r="EB154" s="116">
        <v>-3157</v>
      </c>
      <c r="EC154" s="159">
        <v>4777</v>
      </c>
      <c r="EE154" s="125"/>
      <c r="EF154" s="161"/>
      <c r="EG154" s="124"/>
      <c r="EH154" s="253">
        <v>19.5</v>
      </c>
      <c r="EI154" s="130"/>
      <c r="EJ154" s="125">
        <v>76</v>
      </c>
      <c r="EK154" s="116"/>
      <c r="EL154" s="159"/>
      <c r="EN154" s="116"/>
      <c r="EO154" s="116"/>
      <c r="EP154" s="159"/>
      <c r="EQ154" s="159">
        <v>-6994</v>
      </c>
      <c r="ER154" s="116">
        <v>185</v>
      </c>
      <c r="ES154" s="116">
        <v>1098</v>
      </c>
      <c r="ET154" s="160">
        <v>-8627</v>
      </c>
      <c r="EU154" s="116">
        <v>289</v>
      </c>
      <c r="EV154" s="116">
        <v>1514</v>
      </c>
      <c r="EW154" s="160">
        <v>-7974</v>
      </c>
      <c r="EX154" s="160">
        <v>88</v>
      </c>
      <c r="EY154" s="160">
        <v>1397</v>
      </c>
      <c r="EZ154" s="116">
        <v>1816</v>
      </c>
      <c r="FA154" s="116">
        <v>605</v>
      </c>
      <c r="FB154" s="116">
        <v>3601</v>
      </c>
      <c r="FC154" s="160">
        <v>2595</v>
      </c>
      <c r="FD154" s="116">
        <v>737</v>
      </c>
      <c r="FE154" s="116">
        <v>-1932</v>
      </c>
      <c r="FF154" s="3">
        <v>48713</v>
      </c>
      <c r="FG154" s="3">
        <v>31490</v>
      </c>
      <c r="FH154" s="3">
        <v>17223</v>
      </c>
      <c r="FI154" s="3">
        <v>0</v>
      </c>
      <c r="FJ154" s="125">
        <v>51482</v>
      </c>
      <c r="FK154" s="160">
        <v>32328</v>
      </c>
      <c r="FL154" s="125">
        <v>19154</v>
      </c>
      <c r="FM154" s="116">
        <v>84</v>
      </c>
      <c r="FN154" s="125">
        <v>47111</v>
      </c>
      <c r="FO154" s="116">
        <v>30702</v>
      </c>
      <c r="FP154" s="116">
        <v>16409</v>
      </c>
      <c r="FQ154" s="116">
        <v>120</v>
      </c>
      <c r="FR154" s="153">
        <v>3798</v>
      </c>
      <c r="FS154" s="153">
        <v>4083</v>
      </c>
      <c r="FT154" s="276">
        <v>3853</v>
      </c>
      <c r="FU154" s="3">
        <v>3408</v>
      </c>
      <c r="FV154" s="159">
        <v>3207</v>
      </c>
      <c r="FW154" s="170"/>
      <c r="FZ154" s="155"/>
      <c r="GA154" s="2"/>
      <c r="GD154" s="163"/>
      <c r="GE154" s="2"/>
      <c r="GF154" s="2"/>
    </row>
    <row r="155" spans="1:188" ht="14.5" x14ac:dyDescent="0.35">
      <c r="A155" s="72">
        <v>503</v>
      </c>
      <c r="B155" s="70" t="s">
        <v>152</v>
      </c>
      <c r="C155" s="158">
        <v>7766</v>
      </c>
      <c r="D155" s="171"/>
      <c r="E155" s="128">
        <v>3.9864610755923277E-2</v>
      </c>
      <c r="F155" s="128">
        <v>47.696340232827154</v>
      </c>
      <c r="G155" s="129">
        <v>-3676.9250579448876</v>
      </c>
      <c r="H155" s="216"/>
      <c r="I155" s="172"/>
      <c r="J155" s="218"/>
      <c r="K155" s="128">
        <v>35.671161507814894</v>
      </c>
      <c r="L155" s="129">
        <v>754.57120782899824</v>
      </c>
      <c r="M155" s="129">
        <v>24.311759758121347</v>
      </c>
      <c r="N155" s="129">
        <v>11328.611898016996</v>
      </c>
      <c r="O155" s="129"/>
      <c r="P155" s="117">
        <v>36947</v>
      </c>
      <c r="Q155" s="161">
        <v>81233</v>
      </c>
      <c r="R155" s="161">
        <v>26</v>
      </c>
      <c r="S155" s="161">
        <v>-44260</v>
      </c>
      <c r="T155" s="124">
        <v>27296</v>
      </c>
      <c r="U155" s="124">
        <v>17019</v>
      </c>
      <c r="V155" s="136"/>
      <c r="X155" s="116">
        <v>-157</v>
      </c>
      <c r="Y155" s="116">
        <v>35</v>
      </c>
      <c r="Z155" s="161">
        <v>-67</v>
      </c>
      <c r="AA155" s="116">
        <v>3180</v>
      </c>
      <c r="AB155" s="116">
        <v>0</v>
      </c>
      <c r="AD155" s="161">
        <v>-3247</v>
      </c>
      <c r="AE155" s="116">
        <v>7</v>
      </c>
      <c r="AF155" s="116">
        <v>53</v>
      </c>
      <c r="AG155" s="116">
        <v>-11</v>
      </c>
      <c r="AH155" s="116">
        <v>0</v>
      </c>
      <c r="AI155" s="160">
        <v>-3198</v>
      </c>
      <c r="AJ155" s="161">
        <v>23</v>
      </c>
      <c r="AK155" s="161">
        <v>-169</v>
      </c>
      <c r="AL155" s="150"/>
      <c r="AM155" s="161">
        <v>-61</v>
      </c>
      <c r="AN155" s="161">
        <v>-2486</v>
      </c>
      <c r="AO155" s="160">
        <v>-3960</v>
      </c>
      <c r="AQ155" s="160"/>
      <c r="AR155" s="117"/>
      <c r="AS155" s="117"/>
      <c r="AT155" s="99">
        <v>21</v>
      </c>
      <c r="AU155" s="130"/>
      <c r="AV155" s="262">
        <v>283</v>
      </c>
      <c r="AW155" s="267">
        <v>7654</v>
      </c>
      <c r="AX155" s="124"/>
      <c r="AY155" s="255">
        <v>-0.83437892095357591</v>
      </c>
      <c r="AZ155" s="259">
        <v>59.928923173956285</v>
      </c>
      <c r="BA155" s="160">
        <v>-5086.8826757251109</v>
      </c>
      <c r="BB155" s="130"/>
      <c r="BC155" s="130"/>
      <c r="BD155" s="130"/>
      <c r="BE155" s="128">
        <v>24.067960030386256</v>
      </c>
      <c r="BF155" s="160">
        <v>588.45048340736867</v>
      </c>
      <c r="BG155" s="129">
        <v>22.338847808831517</v>
      </c>
      <c r="BH155" s="131">
        <v>12509.537496733734</v>
      </c>
      <c r="BI155" s="124"/>
      <c r="BJ155" s="117">
        <v>40317</v>
      </c>
      <c r="BK155" s="117">
        <v>84556</v>
      </c>
      <c r="BL155" s="161">
        <v>38</v>
      </c>
      <c r="BM155" s="161">
        <v>-44201</v>
      </c>
      <c r="BN155" s="117">
        <v>27022</v>
      </c>
      <c r="BO155" s="117">
        <v>15107</v>
      </c>
      <c r="BP155" s="136"/>
      <c r="BR155" s="160">
        <v>-174</v>
      </c>
      <c r="BS155" s="160">
        <v>76</v>
      </c>
      <c r="BT155" s="161">
        <v>-2170</v>
      </c>
      <c r="BU155" s="125">
        <v>9141</v>
      </c>
      <c r="BV155" s="160">
        <v>0</v>
      </c>
      <c r="BX155" s="161">
        <v>-11311</v>
      </c>
      <c r="BY155" s="160">
        <v>-12</v>
      </c>
      <c r="BZ155" s="160">
        <v>0</v>
      </c>
      <c r="CA155" s="160">
        <v>0</v>
      </c>
      <c r="CB155" s="160">
        <v>3</v>
      </c>
      <c r="CC155" s="160">
        <v>-11320</v>
      </c>
      <c r="CD155" s="160">
        <v>-11481</v>
      </c>
      <c r="CE155" s="116">
        <v>-2328</v>
      </c>
      <c r="CF155" s="150"/>
      <c r="CG155" s="160">
        <v>-1625</v>
      </c>
      <c r="CH155" s="160">
        <v>-2216</v>
      </c>
      <c r="CI155" s="159">
        <v>-10216</v>
      </c>
      <c r="CK155" s="124"/>
      <c r="CL155" s="161"/>
      <c r="CM155" s="124"/>
      <c r="CN155" s="265">
        <v>21</v>
      </c>
      <c r="CO155" s="130"/>
      <c r="CP155" s="116">
        <v>285</v>
      </c>
      <c r="CQ155" s="267">
        <v>7645</v>
      </c>
      <c r="CR155" s="124"/>
      <c r="CS155" s="268">
        <v>1.4076153282889921</v>
      </c>
      <c r="CT155" s="269">
        <v>60.453960977246048</v>
      </c>
      <c r="CU155" s="160">
        <v>-5541.1379986919555</v>
      </c>
      <c r="CV155" s="130"/>
      <c r="CW155" s="130"/>
      <c r="CX155" s="130"/>
      <c r="CY155" s="269">
        <v>23.972768288752821</v>
      </c>
      <c r="CZ155" s="125">
        <v>762.58992805755395</v>
      </c>
      <c r="DA155" s="125">
        <v>21.965255269514234</v>
      </c>
      <c r="DB155" s="273">
        <v>12672.073250490517</v>
      </c>
      <c r="DC155" s="124"/>
      <c r="DD155" s="117">
        <v>40865</v>
      </c>
      <c r="DE155" s="117">
        <v>83788</v>
      </c>
      <c r="DF155" s="117">
        <v>10</v>
      </c>
      <c r="DG155" s="117">
        <v>-42913</v>
      </c>
      <c r="DH155" s="117">
        <v>28670</v>
      </c>
      <c r="DI155" s="117">
        <v>19900</v>
      </c>
      <c r="DJ155" s="136"/>
      <c r="DL155" s="160">
        <v>-135</v>
      </c>
      <c r="DM155" s="160">
        <v>56</v>
      </c>
      <c r="DN155" s="161">
        <v>5578</v>
      </c>
      <c r="DO155" s="116">
        <v>3355</v>
      </c>
      <c r="DP155" s="160">
        <v>0</v>
      </c>
      <c r="DR155" s="161">
        <v>2223</v>
      </c>
      <c r="DS155" s="116">
        <v>-131</v>
      </c>
      <c r="DT155" s="116">
        <v>-30</v>
      </c>
      <c r="DU155" s="116">
        <v>0</v>
      </c>
      <c r="DV155" s="116">
        <v>3</v>
      </c>
      <c r="DW155" s="160">
        <v>2065</v>
      </c>
      <c r="DX155" s="160">
        <v>-6256</v>
      </c>
      <c r="DY155" s="116">
        <v>5384</v>
      </c>
      <c r="DZ155" s="150"/>
      <c r="EA155" s="116">
        <v>94</v>
      </c>
      <c r="EB155" s="116">
        <v>-3908</v>
      </c>
      <c r="EC155" s="159">
        <v>-3243</v>
      </c>
      <c r="EE155" s="125"/>
      <c r="EF155" s="161"/>
      <c r="EG155" s="124"/>
      <c r="EH155" s="253">
        <v>21.25</v>
      </c>
      <c r="EI155" s="130"/>
      <c r="EJ155" s="125">
        <v>246</v>
      </c>
      <c r="EK155" s="116"/>
      <c r="EL155" s="159"/>
      <c r="EN155" s="116"/>
      <c r="EO155" s="116"/>
      <c r="EP155" s="159"/>
      <c r="EQ155" s="159">
        <v>-4072</v>
      </c>
      <c r="ER155" s="116">
        <v>97</v>
      </c>
      <c r="ES155" s="116">
        <v>184</v>
      </c>
      <c r="ET155" s="160">
        <v>-8783</v>
      </c>
      <c r="EU155" s="116">
        <v>13</v>
      </c>
      <c r="EV155" s="116">
        <v>882</v>
      </c>
      <c r="EW155" s="160">
        <v>-8961</v>
      </c>
      <c r="EX155" s="160">
        <v>43</v>
      </c>
      <c r="EY155" s="160">
        <v>291</v>
      </c>
      <c r="EZ155" s="116">
        <v>4695</v>
      </c>
      <c r="FA155" s="116">
        <v>991</v>
      </c>
      <c r="FB155" s="116">
        <v>9967</v>
      </c>
      <c r="FC155" s="160">
        <v>2266</v>
      </c>
      <c r="FD155" s="116">
        <v>10060</v>
      </c>
      <c r="FE155" s="116">
        <v>-1728</v>
      </c>
      <c r="FF155" s="3">
        <v>25039</v>
      </c>
      <c r="FG155" s="3">
        <v>16774</v>
      </c>
      <c r="FH155" s="3">
        <v>8265</v>
      </c>
      <c r="FI155" s="3">
        <v>0</v>
      </c>
      <c r="FJ155" s="125">
        <v>34954</v>
      </c>
      <c r="FK155" s="160">
        <v>23608</v>
      </c>
      <c r="FL155" s="125">
        <v>11346</v>
      </c>
      <c r="FM155" s="116">
        <v>0</v>
      </c>
      <c r="FN155" s="125">
        <v>41929</v>
      </c>
      <c r="FO155" s="116">
        <v>32020</v>
      </c>
      <c r="FP155" s="116">
        <v>9909</v>
      </c>
      <c r="FQ155" s="116">
        <v>94</v>
      </c>
      <c r="FR155" s="153">
        <v>830</v>
      </c>
      <c r="FS155" s="153">
        <v>830</v>
      </c>
      <c r="FT155" s="276">
        <v>1571</v>
      </c>
      <c r="FU155" s="3">
        <v>567</v>
      </c>
      <c r="FV155" s="159">
        <v>6874</v>
      </c>
      <c r="FW155" s="170"/>
      <c r="FZ155" s="155"/>
      <c r="GA155" s="2"/>
      <c r="GD155" s="163"/>
      <c r="GE155" s="2"/>
      <c r="GF155" s="2"/>
    </row>
    <row r="156" spans="1:188" ht="14.5" x14ac:dyDescent="0.35">
      <c r="A156" s="72">
        <v>504</v>
      </c>
      <c r="B156" s="70" t="s">
        <v>153</v>
      </c>
      <c r="C156" s="158">
        <v>1922</v>
      </c>
      <c r="D156" s="171"/>
      <c r="E156" s="128">
        <v>8.5463917525773194</v>
      </c>
      <c r="F156" s="128">
        <v>25.437129390299528</v>
      </c>
      <c r="G156" s="129">
        <v>-1254.942767950052</v>
      </c>
      <c r="H156" s="216"/>
      <c r="I156" s="172"/>
      <c r="J156" s="218"/>
      <c r="K156" s="128">
        <v>59.751399287635387</v>
      </c>
      <c r="L156" s="129">
        <v>766.90946930280961</v>
      </c>
      <c r="M156" s="129">
        <v>27.247910863509752</v>
      </c>
      <c r="N156" s="129">
        <v>10273.152965660771</v>
      </c>
      <c r="O156" s="129"/>
      <c r="P156" s="117">
        <v>8544</v>
      </c>
      <c r="Q156" s="161">
        <v>19194</v>
      </c>
      <c r="R156" s="161">
        <v>4</v>
      </c>
      <c r="S156" s="161">
        <v>-10646</v>
      </c>
      <c r="T156" s="124">
        <v>6417</v>
      </c>
      <c r="U156" s="124">
        <v>4770</v>
      </c>
      <c r="V156" s="136"/>
      <c r="X156" s="116">
        <v>-33</v>
      </c>
      <c r="Y156" s="116">
        <v>288</v>
      </c>
      <c r="Z156" s="161">
        <v>796</v>
      </c>
      <c r="AA156" s="116">
        <v>659</v>
      </c>
      <c r="AB156" s="116">
        <v>18</v>
      </c>
      <c r="AD156" s="161">
        <v>155</v>
      </c>
      <c r="AE156" s="117">
        <v>5</v>
      </c>
      <c r="AF156" s="117">
        <v>-1</v>
      </c>
      <c r="AG156" s="116">
        <v>0</v>
      </c>
      <c r="AH156" s="116">
        <v>-1</v>
      </c>
      <c r="AI156" s="160">
        <v>158</v>
      </c>
      <c r="AJ156" s="161">
        <v>1519</v>
      </c>
      <c r="AK156" s="161">
        <v>872</v>
      </c>
      <c r="AL156" s="150"/>
      <c r="AM156" s="161">
        <v>-430</v>
      </c>
      <c r="AN156" s="161">
        <v>-64</v>
      </c>
      <c r="AO156" s="160">
        <v>740</v>
      </c>
      <c r="AQ156" s="160"/>
      <c r="AR156" s="117"/>
      <c r="AS156" s="117"/>
      <c r="AT156" s="99">
        <v>21.5</v>
      </c>
      <c r="AU156" s="130"/>
      <c r="AV156" s="262">
        <v>177</v>
      </c>
      <c r="AW156" s="267">
        <v>1882</v>
      </c>
      <c r="AX156" s="124"/>
      <c r="AY156" s="255">
        <v>10.221052631578948</v>
      </c>
      <c r="AZ156" s="259">
        <v>26.720424722027445</v>
      </c>
      <c r="BA156" s="160">
        <v>-1273.1137088204039</v>
      </c>
      <c r="BB156" s="130"/>
      <c r="BC156" s="130"/>
      <c r="BD156" s="130"/>
      <c r="BE156" s="128">
        <v>59.461340385552234</v>
      </c>
      <c r="BF156" s="160">
        <v>887.88522848034006</v>
      </c>
      <c r="BG156" s="129">
        <v>26.264889669986331</v>
      </c>
      <c r="BH156" s="131">
        <v>10884.165781083953</v>
      </c>
      <c r="BI156" s="124"/>
      <c r="BJ156" s="117">
        <v>8678</v>
      </c>
      <c r="BK156" s="117">
        <v>19284</v>
      </c>
      <c r="BL156" s="161">
        <v>-5</v>
      </c>
      <c r="BM156" s="161">
        <v>-10611</v>
      </c>
      <c r="BN156" s="117">
        <v>6597</v>
      </c>
      <c r="BO156" s="117">
        <v>4691</v>
      </c>
      <c r="BP156" s="136"/>
      <c r="BR156" s="160">
        <v>-28</v>
      </c>
      <c r="BS156" s="160">
        <v>294</v>
      </c>
      <c r="BT156" s="161">
        <v>943</v>
      </c>
      <c r="BU156" s="125">
        <v>609</v>
      </c>
      <c r="BV156" s="160">
        <v>0</v>
      </c>
      <c r="BX156" s="161">
        <v>334</v>
      </c>
      <c r="BY156" s="161">
        <v>-1</v>
      </c>
      <c r="BZ156" s="160">
        <v>0</v>
      </c>
      <c r="CA156" s="160">
        <v>0</v>
      </c>
      <c r="CB156" s="160">
        <v>0</v>
      </c>
      <c r="CC156" s="160">
        <v>333</v>
      </c>
      <c r="CD156" s="160">
        <v>1919</v>
      </c>
      <c r="CE156" s="116">
        <v>933</v>
      </c>
      <c r="CF156" s="150"/>
      <c r="CG156" s="161">
        <v>-149</v>
      </c>
      <c r="CH156" s="160">
        <v>-67</v>
      </c>
      <c r="CI156" s="159">
        <v>3</v>
      </c>
      <c r="CK156" s="124"/>
      <c r="CL156" s="161"/>
      <c r="CM156" s="124"/>
      <c r="CN156" s="265">
        <v>21.5</v>
      </c>
      <c r="CO156" s="130"/>
      <c r="CP156" s="116">
        <v>119</v>
      </c>
      <c r="CQ156" s="267">
        <v>1871</v>
      </c>
      <c r="CR156" s="124"/>
      <c r="CS156" s="268">
        <v>24.044117647058822</v>
      </c>
      <c r="CT156" s="269">
        <v>48.006636412433515</v>
      </c>
      <c r="CU156" s="160">
        <v>-3792.0897915553178</v>
      </c>
      <c r="CV156" s="130"/>
      <c r="CW156" s="130"/>
      <c r="CX156" s="130"/>
      <c r="CY156" s="269">
        <v>47.952862970237199</v>
      </c>
      <c r="CZ156" s="125">
        <v>972.20737573490112</v>
      </c>
      <c r="DA156" s="125">
        <v>25.678179146039604</v>
      </c>
      <c r="DB156" s="273">
        <v>13819.347942276858</v>
      </c>
      <c r="DC156" s="124"/>
      <c r="DD156" s="117">
        <v>8549</v>
      </c>
      <c r="DE156" s="117">
        <v>19197</v>
      </c>
      <c r="DF156" s="117">
        <v>9</v>
      </c>
      <c r="DG156" s="117">
        <v>-10639</v>
      </c>
      <c r="DH156" s="117">
        <v>6601</v>
      </c>
      <c r="DI156" s="117">
        <v>5343</v>
      </c>
      <c r="DJ156" s="136"/>
      <c r="DL156" s="160">
        <v>-17</v>
      </c>
      <c r="DM156" s="160">
        <v>325</v>
      </c>
      <c r="DN156" s="161">
        <v>1613</v>
      </c>
      <c r="DO156" s="116">
        <v>643</v>
      </c>
      <c r="DP156" s="160">
        <v>9</v>
      </c>
      <c r="DR156" s="161">
        <v>979</v>
      </c>
      <c r="DS156" s="117">
        <v>-1</v>
      </c>
      <c r="DT156" s="116">
        <v>0</v>
      </c>
      <c r="DU156" s="116">
        <v>0</v>
      </c>
      <c r="DV156" s="116">
        <v>0</v>
      </c>
      <c r="DW156" s="160">
        <v>978</v>
      </c>
      <c r="DX156" s="160">
        <v>2897</v>
      </c>
      <c r="DY156" s="116">
        <v>1577</v>
      </c>
      <c r="DZ156" s="150"/>
      <c r="EA156" s="117">
        <v>345</v>
      </c>
      <c r="EB156" s="116">
        <v>-46</v>
      </c>
      <c r="EC156" s="159">
        <v>-4669</v>
      </c>
      <c r="EE156" s="125"/>
      <c r="EF156" s="161"/>
      <c r="EG156" s="124"/>
      <c r="EH156" s="253">
        <v>21.5</v>
      </c>
      <c r="EI156" s="130"/>
      <c r="EJ156" s="125">
        <v>204</v>
      </c>
      <c r="EK156" s="116"/>
      <c r="EL156" s="159"/>
      <c r="EN156" s="116"/>
      <c r="EO156" s="116"/>
      <c r="EP156" s="159"/>
      <c r="EQ156" s="159">
        <v>-450</v>
      </c>
      <c r="ER156" s="116">
        <v>65</v>
      </c>
      <c r="ES156" s="116">
        <v>253</v>
      </c>
      <c r="ET156" s="160">
        <v>-1102</v>
      </c>
      <c r="EU156" s="116">
        <v>0</v>
      </c>
      <c r="EV156" s="116">
        <v>172</v>
      </c>
      <c r="EW156" s="160">
        <v>-6588</v>
      </c>
      <c r="EX156" s="160">
        <v>225</v>
      </c>
      <c r="EY156" s="160">
        <v>117</v>
      </c>
      <c r="EZ156" s="116">
        <v>0</v>
      </c>
      <c r="FA156" s="116">
        <v>0</v>
      </c>
      <c r="FB156" s="116">
        <v>2</v>
      </c>
      <c r="FC156" s="160">
        <v>1</v>
      </c>
      <c r="FD156" s="116">
        <v>1</v>
      </c>
      <c r="FE156" s="116">
        <v>3628</v>
      </c>
      <c r="FF156" s="3">
        <v>2216</v>
      </c>
      <c r="FG156" s="3">
        <v>2149</v>
      </c>
      <c r="FH156" s="3">
        <v>67</v>
      </c>
      <c r="FI156" s="3">
        <v>8</v>
      </c>
      <c r="FJ156" s="125">
        <v>2152</v>
      </c>
      <c r="FK156" s="160">
        <v>2084</v>
      </c>
      <c r="FL156" s="125">
        <v>68</v>
      </c>
      <c r="FM156" s="116">
        <v>6</v>
      </c>
      <c r="FN156" s="125">
        <v>5735</v>
      </c>
      <c r="FO156" s="116">
        <v>2021</v>
      </c>
      <c r="FP156" s="116">
        <v>3714</v>
      </c>
      <c r="FQ156" s="116">
        <v>345</v>
      </c>
      <c r="FR156" s="153">
        <v>730</v>
      </c>
      <c r="FS156" s="153">
        <v>682</v>
      </c>
      <c r="FT156" s="276">
        <v>649</v>
      </c>
      <c r="FU156" s="3">
        <v>2662</v>
      </c>
      <c r="FV156" s="159">
        <v>2238</v>
      </c>
      <c r="FW156" s="170"/>
      <c r="FZ156" s="155"/>
      <c r="GA156" s="2"/>
      <c r="GD156" s="163"/>
      <c r="GE156" s="2"/>
      <c r="GF156" s="2"/>
    </row>
    <row r="157" spans="1:188" ht="14.5" x14ac:dyDescent="0.35">
      <c r="A157" s="72">
        <v>505</v>
      </c>
      <c r="B157" s="70" t="s">
        <v>154</v>
      </c>
      <c r="C157" s="158">
        <v>20686</v>
      </c>
      <c r="D157" s="171"/>
      <c r="E157" s="128">
        <v>0.71083966331348802</v>
      </c>
      <c r="F157" s="128">
        <v>86.078063187063606</v>
      </c>
      <c r="G157" s="129">
        <v>-9997.1961713236014</v>
      </c>
      <c r="H157" s="216"/>
      <c r="I157" s="172"/>
      <c r="J157" s="218"/>
      <c r="K157" s="128">
        <v>26.044337904634482</v>
      </c>
      <c r="L157" s="129">
        <v>721.26075606690517</v>
      </c>
      <c r="M157" s="129">
        <v>17.237962895552343</v>
      </c>
      <c r="N157" s="129">
        <v>15272.116407231944</v>
      </c>
      <c r="O157" s="129"/>
      <c r="P157" s="117">
        <v>163168</v>
      </c>
      <c r="Q157" s="161">
        <v>260462</v>
      </c>
      <c r="R157" s="161">
        <v>-8</v>
      </c>
      <c r="S157" s="161">
        <v>-97302</v>
      </c>
      <c r="T157" s="124">
        <v>79438</v>
      </c>
      <c r="U157" s="124">
        <v>31659</v>
      </c>
      <c r="V157" s="136"/>
      <c r="X157" s="116">
        <v>-1645</v>
      </c>
      <c r="Y157" s="116">
        <v>6</v>
      </c>
      <c r="Z157" s="161">
        <v>12156</v>
      </c>
      <c r="AA157" s="116">
        <v>14439</v>
      </c>
      <c r="AB157" s="117">
        <v>0</v>
      </c>
      <c r="AD157" s="161">
        <v>-2283</v>
      </c>
      <c r="AE157" s="117">
        <v>-50</v>
      </c>
      <c r="AF157" s="117">
        <v>-7</v>
      </c>
      <c r="AG157" s="116">
        <v>-16</v>
      </c>
      <c r="AH157" s="117">
        <v>215</v>
      </c>
      <c r="AI157" s="160">
        <v>-2141</v>
      </c>
      <c r="AJ157" s="161">
        <v>30528</v>
      </c>
      <c r="AK157" s="161">
        <v>11036</v>
      </c>
      <c r="AL157" s="150"/>
      <c r="AM157" s="161">
        <v>1151</v>
      </c>
      <c r="AN157" s="161">
        <v>-17790</v>
      </c>
      <c r="AO157" s="160">
        <v>-18264</v>
      </c>
      <c r="AQ157" s="160"/>
      <c r="AR157" s="117"/>
      <c r="AS157" s="117"/>
      <c r="AT157" s="99">
        <v>20.5</v>
      </c>
      <c r="AU157" s="130"/>
      <c r="AV157" s="262">
        <v>119</v>
      </c>
      <c r="AW157" s="267">
        <v>20721</v>
      </c>
      <c r="AX157" s="124"/>
      <c r="AY157" s="255">
        <v>1.0526438388073609</v>
      </c>
      <c r="AZ157" s="259">
        <v>100.89743192829832</v>
      </c>
      <c r="BA157" s="160">
        <v>-10789.199362965108</v>
      </c>
      <c r="BB157" s="130"/>
      <c r="BC157" s="130"/>
      <c r="BD157" s="130"/>
      <c r="BE157" s="128">
        <v>22.901799382934126</v>
      </c>
      <c r="BF157" s="160">
        <v>859.56276241494129</v>
      </c>
      <c r="BG157" s="129">
        <v>19.072827053248307</v>
      </c>
      <c r="BH157" s="131">
        <v>13788.813281212297</v>
      </c>
      <c r="BI157" s="124"/>
      <c r="BJ157" s="117">
        <v>142437</v>
      </c>
      <c r="BK157" s="117">
        <v>249308</v>
      </c>
      <c r="BL157" s="161">
        <v>10</v>
      </c>
      <c r="BM157" s="161">
        <v>-106861</v>
      </c>
      <c r="BN157" s="117">
        <v>83450</v>
      </c>
      <c r="BO157" s="117">
        <v>32517</v>
      </c>
      <c r="BP157" s="136"/>
      <c r="BR157" s="160">
        <v>-1470</v>
      </c>
      <c r="BS157" s="160">
        <v>-185</v>
      </c>
      <c r="BT157" s="161">
        <v>7451</v>
      </c>
      <c r="BU157" s="125">
        <v>15081</v>
      </c>
      <c r="BV157" s="161">
        <v>0</v>
      </c>
      <c r="BW157" s="117"/>
      <c r="BX157" s="161">
        <v>-7630</v>
      </c>
      <c r="BY157" s="161">
        <v>6</v>
      </c>
      <c r="BZ157" s="161">
        <v>0</v>
      </c>
      <c r="CA157" s="161">
        <v>23</v>
      </c>
      <c r="CB157" s="161">
        <v>256</v>
      </c>
      <c r="CC157" s="160">
        <v>-7391</v>
      </c>
      <c r="CD157" s="160">
        <v>23137</v>
      </c>
      <c r="CE157" s="116">
        <v>5349</v>
      </c>
      <c r="CF157" s="150"/>
      <c r="CG157" s="161">
        <v>-4997</v>
      </c>
      <c r="CH157" s="160">
        <v>-6999</v>
      </c>
      <c r="CI157" s="159">
        <v>-16735</v>
      </c>
      <c r="CK157" s="124"/>
      <c r="CL157" s="161"/>
      <c r="CM157" s="124"/>
      <c r="CN157" s="265">
        <v>20.5</v>
      </c>
      <c r="CO157" s="130"/>
      <c r="CP157" s="116">
        <v>179</v>
      </c>
      <c r="CQ157" s="267">
        <v>20783</v>
      </c>
      <c r="CR157" s="124"/>
      <c r="CS157" s="268">
        <v>1.1429349552902728</v>
      </c>
      <c r="CT157" s="269">
        <v>99.921312611065929</v>
      </c>
      <c r="CU157" s="160">
        <v>-10604.532550642352</v>
      </c>
      <c r="CV157" s="130"/>
      <c r="CW157" s="130"/>
      <c r="CX157" s="130"/>
      <c r="CY157" s="269">
        <v>23.229595373062644</v>
      </c>
      <c r="CZ157" s="125">
        <v>1344.5123418178321</v>
      </c>
      <c r="DA157" s="125">
        <v>35.776857561790109</v>
      </c>
      <c r="DB157" s="273">
        <v>13716.883991724006</v>
      </c>
      <c r="DC157" s="124"/>
      <c r="DD157" s="117">
        <v>135666</v>
      </c>
      <c r="DE157" s="117">
        <v>240472</v>
      </c>
      <c r="DF157" s="117">
        <v>-2</v>
      </c>
      <c r="DG157" s="117">
        <v>-104808</v>
      </c>
      <c r="DH157" s="117">
        <v>87742</v>
      </c>
      <c r="DI157" s="117">
        <v>42200</v>
      </c>
      <c r="DJ157" s="136"/>
      <c r="DL157" s="160">
        <v>-849</v>
      </c>
      <c r="DM157" s="160">
        <v>-177</v>
      </c>
      <c r="DN157" s="161">
        <v>24108</v>
      </c>
      <c r="DO157" s="116">
        <v>21169</v>
      </c>
      <c r="DP157" s="161">
        <v>0</v>
      </c>
      <c r="DQ157" s="117"/>
      <c r="DR157" s="161">
        <v>2939</v>
      </c>
      <c r="DS157" s="117">
        <v>42</v>
      </c>
      <c r="DT157" s="117">
        <v>0</v>
      </c>
      <c r="DU157" s="117">
        <v>12</v>
      </c>
      <c r="DV157" s="117">
        <v>63</v>
      </c>
      <c r="DW157" s="160">
        <v>3032</v>
      </c>
      <c r="DX157" s="160">
        <v>26305</v>
      </c>
      <c r="DY157" s="116">
        <v>22291</v>
      </c>
      <c r="DZ157" s="150"/>
      <c r="EA157" s="117">
        <v>2286</v>
      </c>
      <c r="EB157" s="116">
        <v>-20959</v>
      </c>
      <c r="EC157" s="159">
        <v>3608</v>
      </c>
      <c r="EE157" s="125"/>
      <c r="EF157" s="161"/>
      <c r="EG157" s="124"/>
      <c r="EH157" s="254">
        <v>20.5</v>
      </c>
      <c r="EI157" s="130"/>
      <c r="EJ157" s="125">
        <v>90</v>
      </c>
      <c r="EK157" s="116"/>
      <c r="EL157" s="159"/>
      <c r="EN157" s="116"/>
      <c r="EO157" s="116"/>
      <c r="EP157" s="159"/>
      <c r="EQ157" s="159">
        <v>-35819</v>
      </c>
      <c r="ER157" s="116">
        <v>151</v>
      </c>
      <c r="ES157" s="116">
        <v>6368</v>
      </c>
      <c r="ET157" s="160">
        <v>-27316</v>
      </c>
      <c r="EU157" s="116">
        <v>322</v>
      </c>
      <c r="EV157" s="116">
        <v>4910</v>
      </c>
      <c r="EW157" s="160">
        <v>-21994</v>
      </c>
      <c r="EX157" s="160">
        <v>762</v>
      </c>
      <c r="EY157" s="160">
        <v>2549</v>
      </c>
      <c r="EZ157" s="116">
        <v>38116</v>
      </c>
      <c r="FA157" s="116">
        <v>1430</v>
      </c>
      <c r="FB157" s="116">
        <v>43611</v>
      </c>
      <c r="FC157" s="160">
        <v>-16799</v>
      </c>
      <c r="FD157" s="116">
        <v>62060</v>
      </c>
      <c r="FE157" s="116">
        <v>-36173</v>
      </c>
      <c r="FF157" s="3">
        <v>173714</v>
      </c>
      <c r="FG157" s="3">
        <v>108661</v>
      </c>
      <c r="FH157" s="3">
        <v>65053</v>
      </c>
      <c r="FI157" s="3">
        <v>8</v>
      </c>
      <c r="FJ157" s="125">
        <v>193528</v>
      </c>
      <c r="FK157" s="160">
        <v>141385</v>
      </c>
      <c r="FL157" s="125">
        <v>52143</v>
      </c>
      <c r="FM157" s="116">
        <v>5</v>
      </c>
      <c r="FN157" s="125">
        <v>198454</v>
      </c>
      <c r="FO157" s="116">
        <v>170454</v>
      </c>
      <c r="FP157" s="116">
        <v>28000</v>
      </c>
      <c r="FQ157" s="116">
        <v>2286</v>
      </c>
      <c r="FR157" s="153">
        <v>5443</v>
      </c>
      <c r="FS157" s="153">
        <v>2928</v>
      </c>
      <c r="FT157" s="276">
        <v>3073</v>
      </c>
      <c r="FU157" s="3">
        <v>7993</v>
      </c>
      <c r="FV157" s="159">
        <v>35333</v>
      </c>
      <c r="FW157" s="170"/>
      <c r="FZ157" s="155"/>
      <c r="GA157" s="2"/>
      <c r="GD157" s="163"/>
      <c r="GE157" s="2"/>
      <c r="GF157" s="2"/>
    </row>
    <row r="158" spans="1:188" ht="14.5" x14ac:dyDescent="0.35">
      <c r="A158" s="154">
        <v>508</v>
      </c>
      <c r="B158" s="76" t="s">
        <v>357</v>
      </c>
      <c r="C158" s="158">
        <v>9983</v>
      </c>
      <c r="D158" s="171"/>
      <c r="E158" s="128">
        <v>0.51460895228726022</v>
      </c>
      <c r="F158" s="128">
        <v>60.931728465998553</v>
      </c>
      <c r="G158" s="129">
        <v>-6042.0715215866976</v>
      </c>
      <c r="H158" s="216"/>
      <c r="I158" s="172"/>
      <c r="J158" s="218"/>
      <c r="K158" s="128">
        <v>32.379513281374265</v>
      </c>
      <c r="L158" s="129">
        <v>873.68526495041567</v>
      </c>
      <c r="M158" s="129">
        <v>21.700066800267201</v>
      </c>
      <c r="N158" s="129">
        <v>14695.582490233397</v>
      </c>
      <c r="O158" s="129"/>
      <c r="P158" s="117">
        <v>63493</v>
      </c>
      <c r="Q158" s="161">
        <v>129382</v>
      </c>
      <c r="R158" s="161">
        <v>33</v>
      </c>
      <c r="S158" s="161">
        <v>-65856</v>
      </c>
      <c r="T158" s="124">
        <v>39314</v>
      </c>
      <c r="U158" s="124">
        <v>31202</v>
      </c>
      <c r="V158" s="136"/>
      <c r="X158" s="116">
        <v>-785</v>
      </c>
      <c r="Y158" s="116">
        <v>551</v>
      </c>
      <c r="Z158" s="161">
        <v>4426</v>
      </c>
      <c r="AA158" s="116">
        <v>6221</v>
      </c>
      <c r="AB158" s="116">
        <v>0</v>
      </c>
      <c r="AD158" s="161">
        <v>-1795</v>
      </c>
      <c r="AE158" s="117">
        <v>-155</v>
      </c>
      <c r="AF158" s="117">
        <v>1</v>
      </c>
      <c r="AG158" s="116">
        <v>-102</v>
      </c>
      <c r="AH158" s="116">
        <v>32</v>
      </c>
      <c r="AI158" s="160">
        <v>-2019</v>
      </c>
      <c r="AJ158" s="161">
        <v>4082</v>
      </c>
      <c r="AK158" s="161">
        <v>1692</v>
      </c>
      <c r="AL158" s="150"/>
      <c r="AM158" s="161">
        <v>-2090</v>
      </c>
      <c r="AN158" s="161">
        <v>-9360</v>
      </c>
      <c r="AO158" s="160">
        <v>-1823</v>
      </c>
      <c r="AQ158" s="160"/>
      <c r="AR158" s="117"/>
      <c r="AS158" s="117"/>
      <c r="AT158" s="99">
        <v>22</v>
      </c>
      <c r="AU158" s="130"/>
      <c r="AV158" s="262">
        <v>163</v>
      </c>
      <c r="AW158" s="267">
        <v>9855</v>
      </c>
      <c r="AX158" s="124"/>
      <c r="AY158" s="255">
        <v>1.0055436337625179</v>
      </c>
      <c r="AZ158" s="259">
        <v>70.7433234421365</v>
      </c>
      <c r="BA158" s="160">
        <v>-6359.3099949264333</v>
      </c>
      <c r="BB158" s="130"/>
      <c r="BC158" s="130"/>
      <c r="BD158" s="130"/>
      <c r="BE158" s="128">
        <v>29.756737367662083</v>
      </c>
      <c r="BF158" s="160">
        <v>2066.666666666667</v>
      </c>
      <c r="BG158" s="129">
        <v>22.178695833913892</v>
      </c>
      <c r="BH158" s="131">
        <v>14565.195332318619</v>
      </c>
      <c r="BI158" s="124"/>
      <c r="BJ158" s="117">
        <v>64945</v>
      </c>
      <c r="BK158" s="117">
        <v>130945</v>
      </c>
      <c r="BL158" s="161">
        <v>28</v>
      </c>
      <c r="BM158" s="161">
        <v>-65972</v>
      </c>
      <c r="BN158" s="117">
        <v>39501</v>
      </c>
      <c r="BO158" s="117">
        <v>30354</v>
      </c>
      <c r="BP158" s="136"/>
      <c r="BR158" s="160">
        <v>-742</v>
      </c>
      <c r="BS158" s="160">
        <v>1720</v>
      </c>
      <c r="BT158" s="161">
        <v>4861</v>
      </c>
      <c r="BU158" s="125">
        <v>5928</v>
      </c>
      <c r="BV158" s="160">
        <v>0</v>
      </c>
      <c r="BX158" s="161">
        <v>-1067</v>
      </c>
      <c r="BY158" s="161">
        <v>-166</v>
      </c>
      <c r="BZ158" s="160">
        <v>0</v>
      </c>
      <c r="CA158" s="160">
        <v>87</v>
      </c>
      <c r="CB158" s="160">
        <v>42</v>
      </c>
      <c r="CC158" s="160">
        <v>-1278</v>
      </c>
      <c r="CD158" s="160">
        <v>2028</v>
      </c>
      <c r="CE158" s="116">
        <v>2431</v>
      </c>
      <c r="CF158" s="150"/>
      <c r="CG158" s="160">
        <v>271</v>
      </c>
      <c r="CH158" s="160">
        <v>-4830</v>
      </c>
      <c r="CI158" s="159">
        <v>-4135</v>
      </c>
      <c r="CK158" s="124"/>
      <c r="CL158" s="161"/>
      <c r="CM158" s="124"/>
      <c r="CN158" s="265">
        <v>22</v>
      </c>
      <c r="CO158" s="130"/>
      <c r="CP158" s="116">
        <v>122</v>
      </c>
      <c r="CQ158" s="267">
        <v>9673</v>
      </c>
      <c r="CR158" s="124"/>
      <c r="CS158" s="268">
        <v>0.9503812174754932</v>
      </c>
      <c r="CT158" s="269">
        <v>65.68008241270293</v>
      </c>
      <c r="CU158" s="160">
        <v>-6205.5205210379409</v>
      </c>
      <c r="CV158" s="130"/>
      <c r="CW158" s="130"/>
      <c r="CX158" s="130"/>
      <c r="CY158" s="269">
        <v>30.279864290264751</v>
      </c>
      <c r="CZ158" s="125">
        <v>1802.5431613770288</v>
      </c>
      <c r="DA158" s="125">
        <v>42.311103428560031</v>
      </c>
      <c r="DB158" s="273">
        <v>15549.777731830871</v>
      </c>
      <c r="DC158" s="124"/>
      <c r="DD158" s="117">
        <v>64574</v>
      </c>
      <c r="DE158" s="117">
        <v>133393</v>
      </c>
      <c r="DF158" s="117">
        <v>91</v>
      </c>
      <c r="DG158" s="117">
        <v>-68728</v>
      </c>
      <c r="DH158" s="117">
        <v>41716</v>
      </c>
      <c r="DI158" s="117">
        <v>34465</v>
      </c>
      <c r="DJ158" s="136"/>
      <c r="DL158" s="160">
        <v>-812</v>
      </c>
      <c r="DM158" s="160">
        <v>379</v>
      </c>
      <c r="DN158" s="161">
        <v>7020</v>
      </c>
      <c r="DO158" s="116">
        <v>6573</v>
      </c>
      <c r="DP158" s="160">
        <v>0</v>
      </c>
      <c r="DR158" s="161">
        <v>447</v>
      </c>
      <c r="DS158" s="117">
        <v>-369</v>
      </c>
      <c r="DT158" s="116">
        <v>0</v>
      </c>
      <c r="DU158" s="116">
        <v>219</v>
      </c>
      <c r="DV158" s="116">
        <v>17</v>
      </c>
      <c r="DW158" s="160">
        <v>-124</v>
      </c>
      <c r="DX158" s="160">
        <v>1411</v>
      </c>
      <c r="DY158" s="116">
        <v>6933</v>
      </c>
      <c r="DZ158" s="150"/>
      <c r="EA158" s="116">
        <v>2670</v>
      </c>
      <c r="EB158" s="116">
        <v>-7430</v>
      </c>
      <c r="EC158" s="159">
        <v>-1534</v>
      </c>
      <c r="EE158" s="125"/>
      <c r="EF158" s="161"/>
      <c r="EG158" s="124"/>
      <c r="EH158" s="253">
        <v>22</v>
      </c>
      <c r="EI158" s="130"/>
      <c r="EJ158" s="125">
        <v>251</v>
      </c>
      <c r="EK158" s="116"/>
      <c r="EL158" s="159"/>
      <c r="EN158" s="116"/>
      <c r="EO158" s="116"/>
      <c r="EP158" s="159"/>
      <c r="EQ158" s="159">
        <v>-6950</v>
      </c>
      <c r="ER158" s="116">
        <v>0</v>
      </c>
      <c r="ES158" s="116">
        <v>3435</v>
      </c>
      <c r="ET158" s="160">
        <v>-6809</v>
      </c>
      <c r="EU158" s="116">
        <v>118</v>
      </c>
      <c r="EV158" s="116">
        <v>125</v>
      </c>
      <c r="EW158" s="160">
        <v>-8656</v>
      </c>
      <c r="EX158" s="160">
        <v>129</v>
      </c>
      <c r="EY158" s="160">
        <v>60</v>
      </c>
      <c r="EZ158" s="116">
        <v>2744</v>
      </c>
      <c r="FA158" s="116">
        <v>7008</v>
      </c>
      <c r="FB158" s="116">
        <v>11128</v>
      </c>
      <c r="FC158" s="160">
        <v>8132</v>
      </c>
      <c r="FD158" s="116">
        <v>7669</v>
      </c>
      <c r="FE158" s="116">
        <v>-6951</v>
      </c>
      <c r="FF158" s="3">
        <v>63673</v>
      </c>
      <c r="FG158" s="3">
        <v>53644</v>
      </c>
      <c r="FH158" s="3">
        <v>10029</v>
      </c>
      <c r="FI158" s="3">
        <v>39</v>
      </c>
      <c r="FJ158" s="125">
        <v>77848</v>
      </c>
      <c r="FK158" s="160">
        <v>57819</v>
      </c>
      <c r="FL158" s="125">
        <v>20029</v>
      </c>
      <c r="FM158" s="116">
        <v>43</v>
      </c>
      <c r="FN158" s="125">
        <v>71020</v>
      </c>
      <c r="FO158" s="116">
        <v>54940</v>
      </c>
      <c r="FP158" s="116">
        <v>16080</v>
      </c>
      <c r="FQ158" s="116">
        <v>2670</v>
      </c>
      <c r="FR158" s="153">
        <v>212</v>
      </c>
      <c r="FS158" s="153">
        <v>140</v>
      </c>
      <c r="FT158" s="276">
        <v>90</v>
      </c>
      <c r="FU158" s="3">
        <v>4841</v>
      </c>
      <c r="FV158" s="159">
        <v>5408</v>
      </c>
      <c r="FW158" s="170"/>
      <c r="FZ158" s="155"/>
      <c r="GA158" s="2"/>
      <c r="GD158" s="163"/>
      <c r="GE158" s="2"/>
      <c r="GF158" s="2"/>
    </row>
    <row r="159" spans="1:188" ht="14.5" x14ac:dyDescent="0.35">
      <c r="A159" s="72">
        <v>507</v>
      </c>
      <c r="B159" s="70" t="s">
        <v>155</v>
      </c>
      <c r="C159" s="158">
        <v>5924</v>
      </c>
      <c r="D159" s="171"/>
      <c r="E159" s="128">
        <v>1.279320987654321</v>
      </c>
      <c r="F159" s="128">
        <v>50.746991285101672</v>
      </c>
      <c r="G159" s="129">
        <v>-4972.1471978392974</v>
      </c>
      <c r="H159" s="216"/>
      <c r="I159" s="172"/>
      <c r="J159" s="218"/>
      <c r="K159" s="128">
        <v>37.996523108210056</v>
      </c>
      <c r="L159" s="129">
        <v>387.40715732613103</v>
      </c>
      <c r="M159" s="129">
        <v>11.01798021781449</v>
      </c>
      <c r="N159" s="129">
        <v>12833.896016205268</v>
      </c>
      <c r="O159" s="129"/>
      <c r="P159" s="117">
        <v>33385</v>
      </c>
      <c r="Q159" s="161">
        <v>69219</v>
      </c>
      <c r="R159" s="161">
        <v>10</v>
      </c>
      <c r="S159" s="161">
        <v>-35824</v>
      </c>
      <c r="T159" s="124">
        <v>20906</v>
      </c>
      <c r="U159" s="124">
        <v>17999</v>
      </c>
      <c r="V159" s="136"/>
      <c r="X159" s="116">
        <v>-207</v>
      </c>
      <c r="Y159" s="116">
        <v>226</v>
      </c>
      <c r="Z159" s="161">
        <v>3100</v>
      </c>
      <c r="AA159" s="116">
        <v>3175</v>
      </c>
      <c r="AB159" s="116">
        <v>19</v>
      </c>
      <c r="AD159" s="161">
        <v>-56</v>
      </c>
      <c r="AE159" s="117">
        <v>-1</v>
      </c>
      <c r="AF159" s="117">
        <v>3</v>
      </c>
      <c r="AG159" s="116">
        <v>0</v>
      </c>
      <c r="AH159" s="116">
        <v>10</v>
      </c>
      <c r="AI159" s="160">
        <v>-44</v>
      </c>
      <c r="AJ159" s="161">
        <v>6731</v>
      </c>
      <c r="AK159" s="161">
        <v>2959</v>
      </c>
      <c r="AL159" s="150"/>
      <c r="AM159" s="161">
        <v>-1025</v>
      </c>
      <c r="AN159" s="161">
        <v>-2376</v>
      </c>
      <c r="AO159" s="160">
        <v>-911</v>
      </c>
      <c r="AQ159" s="160"/>
      <c r="AR159" s="117"/>
      <c r="AS159" s="117"/>
      <c r="AT159" s="99">
        <v>19.75</v>
      </c>
      <c r="AU159" s="130"/>
      <c r="AV159" s="262">
        <v>134</v>
      </c>
      <c r="AW159" s="267">
        <v>5791</v>
      </c>
      <c r="AX159" s="124"/>
      <c r="AY159" s="255">
        <v>0.31416603198781418</v>
      </c>
      <c r="AZ159" s="259">
        <v>56.391792704626333</v>
      </c>
      <c r="BA159" s="160">
        <v>-5277.1542048005531</v>
      </c>
      <c r="BB159" s="130"/>
      <c r="BC159" s="130"/>
      <c r="BD159" s="130"/>
      <c r="BE159" s="128">
        <v>33.174419724549743</v>
      </c>
      <c r="BF159" s="160">
        <v>860.64582973579695</v>
      </c>
      <c r="BG159" s="129">
        <v>10.35182436611008</v>
      </c>
      <c r="BH159" s="131">
        <v>13961.3192885512</v>
      </c>
      <c r="BI159" s="124"/>
      <c r="BJ159" s="117">
        <v>33170</v>
      </c>
      <c r="BK159" s="117">
        <v>71517</v>
      </c>
      <c r="BL159" s="161">
        <v>19</v>
      </c>
      <c r="BM159" s="161">
        <v>-38328</v>
      </c>
      <c r="BN159" s="117">
        <v>20816</v>
      </c>
      <c r="BO159" s="117">
        <v>17950</v>
      </c>
      <c r="BP159" s="136"/>
      <c r="BR159" s="160">
        <v>-249</v>
      </c>
      <c r="BS159" s="160">
        <v>380</v>
      </c>
      <c r="BT159" s="161">
        <v>569</v>
      </c>
      <c r="BU159" s="125">
        <v>3033</v>
      </c>
      <c r="BV159" s="160">
        <v>0</v>
      </c>
      <c r="BW159" s="117"/>
      <c r="BX159" s="161">
        <v>-2464</v>
      </c>
      <c r="BY159" s="161">
        <v>0</v>
      </c>
      <c r="BZ159" s="161">
        <v>3</v>
      </c>
      <c r="CA159" s="160">
        <v>0</v>
      </c>
      <c r="CB159" s="160">
        <v>0</v>
      </c>
      <c r="CC159" s="160">
        <v>-2461</v>
      </c>
      <c r="CD159" s="160">
        <v>3682</v>
      </c>
      <c r="CE159" s="116">
        <v>528</v>
      </c>
      <c r="CF159" s="150"/>
      <c r="CG159" s="161">
        <v>235</v>
      </c>
      <c r="CH159" s="160">
        <v>-2370</v>
      </c>
      <c r="CI159" s="159">
        <v>-5788</v>
      </c>
      <c r="CK159" s="124"/>
      <c r="CL159" s="161"/>
      <c r="CM159" s="124"/>
      <c r="CN159" s="265">
        <v>19.75</v>
      </c>
      <c r="CO159" s="130"/>
      <c r="CP159" s="116">
        <v>261</v>
      </c>
      <c r="CQ159" s="267">
        <v>5676</v>
      </c>
      <c r="CR159" s="124"/>
      <c r="CS159" s="268">
        <v>2.3001067995728017</v>
      </c>
      <c r="CT159" s="269">
        <v>54.324501861178014</v>
      </c>
      <c r="CU159" s="160">
        <v>-5584.3904157857651</v>
      </c>
      <c r="CV159" s="130"/>
      <c r="CW159" s="130"/>
      <c r="CX159" s="130"/>
      <c r="CY159" s="269">
        <v>34.9951416398834</v>
      </c>
      <c r="CZ159" s="125">
        <v>868.74559548978164</v>
      </c>
      <c r="DA159" s="125">
        <v>21.884643912403789</v>
      </c>
      <c r="DB159" s="273">
        <v>14489.252995066949</v>
      </c>
      <c r="DC159" s="124"/>
      <c r="DD159" s="117">
        <v>34796</v>
      </c>
      <c r="DE159" s="117">
        <v>71577</v>
      </c>
      <c r="DF159" s="117">
        <v>12</v>
      </c>
      <c r="DG159" s="117">
        <v>-36769</v>
      </c>
      <c r="DH159" s="117">
        <v>21996</v>
      </c>
      <c r="DI159" s="117">
        <v>20847</v>
      </c>
      <c r="DJ159" s="136"/>
      <c r="DL159" s="160">
        <v>-239</v>
      </c>
      <c r="DM159" s="160">
        <v>381</v>
      </c>
      <c r="DN159" s="161">
        <v>6216</v>
      </c>
      <c r="DO159" s="116">
        <v>3767</v>
      </c>
      <c r="DP159" s="160">
        <v>-271</v>
      </c>
      <c r="DQ159" s="117"/>
      <c r="DR159" s="161">
        <v>2178</v>
      </c>
      <c r="DS159" s="117">
        <v>-1</v>
      </c>
      <c r="DT159" s="117">
        <v>0</v>
      </c>
      <c r="DU159" s="116">
        <v>0</v>
      </c>
      <c r="DV159" s="116">
        <v>57</v>
      </c>
      <c r="DW159" s="160">
        <v>2234</v>
      </c>
      <c r="DX159" s="160">
        <v>6917</v>
      </c>
      <c r="DY159" s="116">
        <v>5885</v>
      </c>
      <c r="DZ159" s="150"/>
      <c r="EA159" s="117">
        <v>-528</v>
      </c>
      <c r="EB159" s="116">
        <v>-2564</v>
      </c>
      <c r="EC159" s="159">
        <v>-1288</v>
      </c>
      <c r="EE159" s="125"/>
      <c r="EF159" s="161"/>
      <c r="EG159" s="124"/>
      <c r="EH159" s="253">
        <v>20.25</v>
      </c>
      <c r="EI159" s="130"/>
      <c r="EJ159" s="125">
        <v>104</v>
      </c>
      <c r="EK159" s="116"/>
      <c r="EL159" s="159"/>
      <c r="EN159" s="116"/>
      <c r="EO159" s="116"/>
      <c r="EP159" s="159"/>
      <c r="EQ159" s="159">
        <v>-4051</v>
      </c>
      <c r="ER159" s="116">
        <v>147</v>
      </c>
      <c r="ES159" s="116">
        <v>34</v>
      </c>
      <c r="ET159" s="160">
        <v>-6689</v>
      </c>
      <c r="EU159" s="116">
        <v>284</v>
      </c>
      <c r="EV159" s="116">
        <v>89</v>
      </c>
      <c r="EW159" s="160">
        <v>-7771</v>
      </c>
      <c r="EX159" s="160">
        <v>529</v>
      </c>
      <c r="EY159" s="160">
        <v>69</v>
      </c>
      <c r="EZ159" s="116">
        <v>2171</v>
      </c>
      <c r="FA159" s="116">
        <v>-866</v>
      </c>
      <c r="FB159" s="116">
        <v>10444</v>
      </c>
      <c r="FC159" s="160">
        <v>-312</v>
      </c>
      <c r="FD159" s="116">
        <v>1075</v>
      </c>
      <c r="FE159" s="116">
        <v>3030</v>
      </c>
      <c r="FF159" s="3">
        <v>27248</v>
      </c>
      <c r="FG159" s="3">
        <v>23428</v>
      </c>
      <c r="FH159" s="3">
        <v>3820</v>
      </c>
      <c r="FI159" s="3">
        <v>4561</v>
      </c>
      <c r="FJ159" s="125">
        <v>30628</v>
      </c>
      <c r="FK159" s="160">
        <v>26848</v>
      </c>
      <c r="FL159" s="125">
        <v>3780</v>
      </c>
      <c r="FM159" s="116">
        <v>0</v>
      </c>
      <c r="FN159" s="125">
        <v>32169</v>
      </c>
      <c r="FO159" s="116">
        <v>25166</v>
      </c>
      <c r="FP159" s="116">
        <v>7003</v>
      </c>
      <c r="FQ159" s="116">
        <v>-528</v>
      </c>
      <c r="FR159" s="153">
        <v>6083</v>
      </c>
      <c r="FS159" s="153">
        <v>7909</v>
      </c>
      <c r="FT159" s="276">
        <v>2607</v>
      </c>
      <c r="FU159" s="3">
        <v>5700</v>
      </c>
      <c r="FV159" s="159">
        <v>3548</v>
      </c>
      <c r="FW159" s="170"/>
      <c r="FZ159" s="155"/>
      <c r="GA159" s="2"/>
      <c r="GD159" s="163"/>
      <c r="GE159" s="2"/>
      <c r="GF159" s="2"/>
    </row>
    <row r="160" spans="1:188" ht="14.5" x14ac:dyDescent="0.35">
      <c r="A160" s="72">
        <v>529</v>
      </c>
      <c r="B160" s="70" t="s">
        <v>156</v>
      </c>
      <c r="C160" s="158">
        <v>19245</v>
      </c>
      <c r="D160" s="171"/>
      <c r="E160" s="128">
        <v>3.3554254982600442</v>
      </c>
      <c r="F160" s="128">
        <v>60.535124373755714</v>
      </c>
      <c r="G160" s="129">
        <v>-4476.2275915822293</v>
      </c>
      <c r="H160" s="216"/>
      <c r="I160" s="172"/>
      <c r="J160" s="218"/>
      <c r="K160" s="128">
        <v>52.533691485678773</v>
      </c>
      <c r="L160" s="129">
        <v>678.35801506884911</v>
      </c>
      <c r="M160" s="129">
        <v>25.072744014732965</v>
      </c>
      <c r="N160" s="129">
        <v>9875.2922837100541</v>
      </c>
      <c r="O160" s="129"/>
      <c r="P160" s="117">
        <v>78967</v>
      </c>
      <c r="Q160" s="161">
        <v>162728</v>
      </c>
      <c r="R160" s="161">
        <v>14</v>
      </c>
      <c r="S160" s="161">
        <v>-83747</v>
      </c>
      <c r="T160" s="124">
        <v>89563</v>
      </c>
      <c r="U160" s="124">
        <v>14306</v>
      </c>
      <c r="V160" s="136"/>
      <c r="X160" s="116">
        <v>-928</v>
      </c>
      <c r="Y160" s="116">
        <v>945</v>
      </c>
      <c r="Z160" s="161">
        <v>20139</v>
      </c>
      <c r="AA160" s="116">
        <v>13197</v>
      </c>
      <c r="AB160" s="116">
        <v>0</v>
      </c>
      <c r="AD160" s="161">
        <v>6942</v>
      </c>
      <c r="AE160" s="116">
        <v>-2</v>
      </c>
      <c r="AF160" s="116">
        <v>0</v>
      </c>
      <c r="AG160" s="116">
        <v>-381</v>
      </c>
      <c r="AH160" s="116">
        <v>-291</v>
      </c>
      <c r="AI160" s="160">
        <v>6268</v>
      </c>
      <c r="AJ160" s="161">
        <v>71651</v>
      </c>
      <c r="AK160" s="161">
        <v>18278</v>
      </c>
      <c r="AL160" s="150"/>
      <c r="AM160" s="161">
        <v>2726</v>
      </c>
      <c r="AN160" s="161">
        <v>-5248</v>
      </c>
      <c r="AO160" s="160">
        <v>1446</v>
      </c>
      <c r="AQ160" s="160"/>
      <c r="AR160" s="117"/>
      <c r="AS160" s="117"/>
      <c r="AT160" s="99">
        <v>19</v>
      </c>
      <c r="AU160" s="130"/>
      <c r="AV160" s="262">
        <v>21</v>
      </c>
      <c r="AW160" s="267">
        <v>19314</v>
      </c>
      <c r="AX160" s="124"/>
      <c r="AY160" s="255">
        <v>3.7743665618642499</v>
      </c>
      <c r="AZ160" s="259">
        <v>58.750449744968151</v>
      </c>
      <c r="BA160" s="160">
        <v>-4544.9932691311997</v>
      </c>
      <c r="BB160" s="130"/>
      <c r="BC160" s="130"/>
      <c r="BD160" s="130"/>
      <c r="BE160" s="128">
        <v>53.520352259257599</v>
      </c>
      <c r="BF160" s="160">
        <v>511.13182147664907</v>
      </c>
      <c r="BG160" s="129">
        <v>24.109139572771522</v>
      </c>
      <c r="BH160" s="131">
        <v>10233.302267785026</v>
      </c>
      <c r="BI160" s="124"/>
      <c r="BJ160" s="117">
        <v>82771</v>
      </c>
      <c r="BK160" s="117">
        <v>170132</v>
      </c>
      <c r="BL160" s="161">
        <v>37</v>
      </c>
      <c r="BM160" s="161">
        <v>-87324</v>
      </c>
      <c r="BN160" s="117">
        <v>90778</v>
      </c>
      <c r="BO160" s="117">
        <v>15447</v>
      </c>
      <c r="BP160" s="136"/>
      <c r="BR160" s="160">
        <v>-871</v>
      </c>
      <c r="BS160" s="160">
        <v>1363</v>
      </c>
      <c r="BT160" s="161">
        <v>19393</v>
      </c>
      <c r="BU160" s="125">
        <v>14391</v>
      </c>
      <c r="BV160" s="160">
        <v>413</v>
      </c>
      <c r="BX160" s="161">
        <v>5415</v>
      </c>
      <c r="BY160" s="160">
        <v>3</v>
      </c>
      <c r="BZ160" s="160">
        <v>0</v>
      </c>
      <c r="CA160" s="160">
        <v>339</v>
      </c>
      <c r="CB160" s="160">
        <v>-252</v>
      </c>
      <c r="CC160" s="160">
        <v>4827</v>
      </c>
      <c r="CD160" s="160">
        <v>62472</v>
      </c>
      <c r="CE160" s="116">
        <v>16224</v>
      </c>
      <c r="CF160" s="150"/>
      <c r="CG160" s="161">
        <v>-1752</v>
      </c>
      <c r="CH160" s="160">
        <v>-4392</v>
      </c>
      <c r="CI160" s="159">
        <v>-787</v>
      </c>
      <c r="CK160" s="124"/>
      <c r="CL160" s="161"/>
      <c r="CM160" s="124"/>
      <c r="CN160" s="265">
        <v>19</v>
      </c>
      <c r="CO160" s="130"/>
      <c r="CP160" s="116">
        <v>20</v>
      </c>
      <c r="CQ160" s="267">
        <v>19427</v>
      </c>
      <c r="CR160" s="124"/>
      <c r="CS160" s="268">
        <v>5.4781957701665727</v>
      </c>
      <c r="CT160" s="269">
        <v>56.613902755039526</v>
      </c>
      <c r="CU160" s="160">
        <v>-4218.510320687702</v>
      </c>
      <c r="CV160" s="130"/>
      <c r="CW160" s="130"/>
      <c r="CX160" s="130"/>
      <c r="CY160" s="269">
        <v>55.468341785769169</v>
      </c>
      <c r="CZ160" s="125">
        <v>995.62464611108248</v>
      </c>
      <c r="DA160" s="125">
        <v>35.477245773784396</v>
      </c>
      <c r="DB160" s="273">
        <v>10243.269676223812</v>
      </c>
      <c r="DC160" s="124"/>
      <c r="DD160" s="117">
        <v>80998</v>
      </c>
      <c r="DE160" s="117">
        <v>170965</v>
      </c>
      <c r="DF160" s="117">
        <v>47</v>
      </c>
      <c r="DG160" s="117">
        <v>-89920</v>
      </c>
      <c r="DH160" s="117">
        <v>95201</v>
      </c>
      <c r="DI160" s="117">
        <v>22927</v>
      </c>
      <c r="DJ160" s="136"/>
      <c r="DL160" s="160">
        <v>-855</v>
      </c>
      <c r="DM160" s="160">
        <v>848</v>
      </c>
      <c r="DN160" s="161">
        <v>28201</v>
      </c>
      <c r="DO160" s="116">
        <v>14582</v>
      </c>
      <c r="DP160" s="160">
        <v>0</v>
      </c>
      <c r="DR160" s="161">
        <v>13619</v>
      </c>
      <c r="DS160" s="116">
        <v>-18</v>
      </c>
      <c r="DT160" s="116">
        <v>0</v>
      </c>
      <c r="DU160" s="116">
        <v>390</v>
      </c>
      <c r="DV160" s="116">
        <v>-281</v>
      </c>
      <c r="DW160" s="160">
        <v>12930</v>
      </c>
      <c r="DX160" s="160">
        <v>75434</v>
      </c>
      <c r="DY160" s="116">
        <v>25937</v>
      </c>
      <c r="DZ160" s="150"/>
      <c r="EA160" s="117">
        <v>1591</v>
      </c>
      <c r="EB160" s="116">
        <v>-4274</v>
      </c>
      <c r="EC160" s="159">
        <v>6347</v>
      </c>
      <c r="EE160" s="125"/>
      <c r="EF160" s="161"/>
      <c r="EG160" s="124"/>
      <c r="EH160" s="253">
        <v>19</v>
      </c>
      <c r="EI160" s="130"/>
      <c r="EJ160" s="125">
        <v>27</v>
      </c>
      <c r="EK160" s="116"/>
      <c r="EL160" s="159"/>
      <c r="EN160" s="116"/>
      <c r="EO160" s="116"/>
      <c r="EP160" s="159"/>
      <c r="EQ160" s="159">
        <v>-20757</v>
      </c>
      <c r="ER160" s="116">
        <v>174</v>
      </c>
      <c r="ES160" s="116">
        <v>3751</v>
      </c>
      <c r="ET160" s="160">
        <v>-22053</v>
      </c>
      <c r="EU160" s="116">
        <v>109</v>
      </c>
      <c r="EV160" s="116">
        <v>4933</v>
      </c>
      <c r="EW160" s="160">
        <v>-22156</v>
      </c>
      <c r="EX160" s="160">
        <v>187</v>
      </c>
      <c r="EY160" s="160">
        <v>2379</v>
      </c>
      <c r="EZ160" s="116">
        <v>7866</v>
      </c>
      <c r="FA160" s="116">
        <v>-1851</v>
      </c>
      <c r="FB160" s="116">
        <v>6259</v>
      </c>
      <c r="FC160" s="160">
        <v>-6225</v>
      </c>
      <c r="FD160" s="116">
        <v>2549</v>
      </c>
      <c r="FE160" s="116">
        <v>1129</v>
      </c>
      <c r="FF160" s="3">
        <v>69559</v>
      </c>
      <c r="FG160" s="3">
        <v>45063</v>
      </c>
      <c r="FH160" s="3">
        <v>24496</v>
      </c>
      <c r="FI160" s="3">
        <v>1620</v>
      </c>
      <c r="FJ160" s="125">
        <v>65443</v>
      </c>
      <c r="FK160" s="160">
        <v>47335</v>
      </c>
      <c r="FL160" s="125">
        <v>18108</v>
      </c>
      <c r="FM160" s="116">
        <v>1620</v>
      </c>
      <c r="FN160" s="125">
        <v>64847</v>
      </c>
      <c r="FO160" s="116">
        <v>45314</v>
      </c>
      <c r="FP160" s="116">
        <v>19533</v>
      </c>
      <c r="FQ160" s="116">
        <v>1591</v>
      </c>
      <c r="FR160" s="153">
        <v>22036</v>
      </c>
      <c r="FS160" s="153">
        <v>21400</v>
      </c>
      <c r="FT160" s="276">
        <v>17099</v>
      </c>
      <c r="FU160" s="3">
        <v>14471</v>
      </c>
      <c r="FV160" s="159">
        <v>14809</v>
      </c>
      <c r="FW160" s="170"/>
      <c r="FZ160" s="155"/>
      <c r="GA160" s="2"/>
      <c r="GD160" s="163"/>
      <c r="GE160" s="2"/>
      <c r="GF160" s="2"/>
    </row>
    <row r="161" spans="1:188" ht="14.5" x14ac:dyDescent="0.35">
      <c r="A161" s="72">
        <v>531</v>
      </c>
      <c r="B161" s="70" t="s">
        <v>157</v>
      </c>
      <c r="C161" s="158">
        <v>5437</v>
      </c>
      <c r="D161" s="171"/>
      <c r="E161" s="128">
        <v>1.9314173742651861</v>
      </c>
      <c r="F161" s="128">
        <v>41.791044776119406</v>
      </c>
      <c r="G161" s="129">
        <v>-2183.741033658267</v>
      </c>
      <c r="H161" s="216"/>
      <c r="I161" s="172"/>
      <c r="J161" s="218"/>
      <c r="K161" s="128">
        <v>42.489874977989082</v>
      </c>
      <c r="L161" s="129">
        <v>1189.0748574581571</v>
      </c>
      <c r="M161" s="129">
        <v>40.258726584092535</v>
      </c>
      <c r="N161" s="129">
        <v>10780.577524370057</v>
      </c>
      <c r="O161" s="129"/>
      <c r="P161" s="117">
        <v>20875</v>
      </c>
      <c r="Q161" s="161">
        <v>50355</v>
      </c>
      <c r="R161" s="161">
        <v>-1</v>
      </c>
      <c r="S161" s="161">
        <v>-29481</v>
      </c>
      <c r="T161" s="124">
        <v>19341</v>
      </c>
      <c r="U161" s="124">
        <v>12982</v>
      </c>
      <c r="V161" s="136"/>
      <c r="X161" s="116">
        <v>-85</v>
      </c>
      <c r="Y161" s="116">
        <v>113</v>
      </c>
      <c r="Z161" s="161">
        <v>2870</v>
      </c>
      <c r="AA161" s="116">
        <v>1996</v>
      </c>
      <c r="AB161" s="116">
        <v>0</v>
      </c>
      <c r="AD161" s="161">
        <v>874</v>
      </c>
      <c r="AE161" s="116">
        <v>16</v>
      </c>
      <c r="AF161" s="116">
        <v>0</v>
      </c>
      <c r="AG161" s="116">
        <v>9</v>
      </c>
      <c r="AH161" s="116">
        <v>0</v>
      </c>
      <c r="AI161" s="160">
        <v>899</v>
      </c>
      <c r="AJ161" s="161">
        <v>3789</v>
      </c>
      <c r="AK161" s="161">
        <v>2866</v>
      </c>
      <c r="AL161" s="150"/>
      <c r="AM161" s="161">
        <v>-374</v>
      </c>
      <c r="AN161" s="161">
        <v>-1444</v>
      </c>
      <c r="AO161" s="160">
        <v>-3195</v>
      </c>
      <c r="AQ161" s="160"/>
      <c r="AR161" s="117"/>
      <c r="AS161" s="117"/>
      <c r="AT161" s="99">
        <v>21.25</v>
      </c>
      <c r="AU161" s="130"/>
      <c r="AV161" s="262">
        <v>133</v>
      </c>
      <c r="AW161" s="267">
        <v>5329</v>
      </c>
      <c r="AX161" s="124"/>
      <c r="AY161" s="255">
        <v>0.93262411347517726</v>
      </c>
      <c r="AZ161" s="259">
        <v>40.303851005416632</v>
      </c>
      <c r="BA161" s="160">
        <v>-2378.6826796772375</v>
      </c>
      <c r="BB161" s="130"/>
      <c r="BC161" s="130"/>
      <c r="BD161" s="130"/>
      <c r="BE161" s="128">
        <v>41.541744605738074</v>
      </c>
      <c r="BF161" s="160">
        <v>1112.7791330455996</v>
      </c>
      <c r="BG161" s="129">
        <v>41.757174787662045</v>
      </c>
      <c r="BH161" s="131">
        <v>10494.464252204918</v>
      </c>
      <c r="BI161" s="124"/>
      <c r="BJ161" s="117">
        <v>21457</v>
      </c>
      <c r="BK161" s="117">
        <v>52430</v>
      </c>
      <c r="BL161" s="161">
        <v>0</v>
      </c>
      <c r="BM161" s="161">
        <v>-30973</v>
      </c>
      <c r="BN161" s="117">
        <v>19430</v>
      </c>
      <c r="BO161" s="117">
        <v>13021</v>
      </c>
      <c r="BP161" s="136"/>
      <c r="BR161" s="160">
        <v>-94</v>
      </c>
      <c r="BS161" s="160">
        <v>98</v>
      </c>
      <c r="BT161" s="161">
        <v>1482</v>
      </c>
      <c r="BU161" s="125">
        <v>2337</v>
      </c>
      <c r="BV161" s="160">
        <v>0</v>
      </c>
      <c r="BX161" s="161">
        <v>-855</v>
      </c>
      <c r="BY161" s="160">
        <v>5</v>
      </c>
      <c r="BZ161" s="160">
        <v>0</v>
      </c>
      <c r="CA161" s="160">
        <v>19</v>
      </c>
      <c r="CB161" s="160">
        <v>-11</v>
      </c>
      <c r="CC161" s="160">
        <v>-880</v>
      </c>
      <c r="CD161" s="160">
        <v>2577</v>
      </c>
      <c r="CE161" s="116">
        <v>1402</v>
      </c>
      <c r="CF161" s="150"/>
      <c r="CG161" s="161">
        <v>829</v>
      </c>
      <c r="CH161" s="160">
        <v>-1596</v>
      </c>
      <c r="CI161" s="159">
        <v>-339</v>
      </c>
      <c r="CK161" s="124"/>
      <c r="CL161" s="161"/>
      <c r="CM161" s="124"/>
      <c r="CN161" s="265">
        <v>21.25</v>
      </c>
      <c r="CO161" s="130"/>
      <c r="CP161" s="116">
        <v>217</v>
      </c>
      <c r="CQ161" s="267">
        <v>5256</v>
      </c>
      <c r="CR161" s="124"/>
      <c r="CS161" s="268">
        <v>2.1076759061833688</v>
      </c>
      <c r="CT161" s="269">
        <v>35.215049046273712</v>
      </c>
      <c r="CU161" s="160">
        <v>-1960.4261796042617</v>
      </c>
      <c r="CV161" s="130"/>
      <c r="CW161" s="130"/>
      <c r="CX161" s="130"/>
      <c r="CY161" s="269">
        <v>46.328675911605103</v>
      </c>
      <c r="CZ161" s="125">
        <v>1154.8706240487063</v>
      </c>
      <c r="DA161" s="125">
        <v>38.884988679642667</v>
      </c>
      <c r="DB161" s="273">
        <v>10840.372907153729</v>
      </c>
      <c r="DC161" s="124"/>
      <c r="DD161" s="117">
        <v>21688</v>
      </c>
      <c r="DE161" s="117">
        <v>53123</v>
      </c>
      <c r="DF161" s="117">
        <v>0</v>
      </c>
      <c r="DG161" s="117">
        <v>-31435</v>
      </c>
      <c r="DH161" s="117">
        <v>19642</v>
      </c>
      <c r="DI161" s="117">
        <v>15657</v>
      </c>
      <c r="DJ161" s="136"/>
      <c r="DL161" s="160">
        <v>-86</v>
      </c>
      <c r="DM161" s="160">
        <v>87</v>
      </c>
      <c r="DN161" s="161">
        <v>3865</v>
      </c>
      <c r="DO161" s="116">
        <v>2407</v>
      </c>
      <c r="DP161" s="160">
        <v>52</v>
      </c>
      <c r="DR161" s="161">
        <v>1510</v>
      </c>
      <c r="DS161" s="116">
        <v>10</v>
      </c>
      <c r="DT161" s="116">
        <v>0</v>
      </c>
      <c r="DU161" s="116">
        <v>17</v>
      </c>
      <c r="DV161" s="116">
        <v>-12</v>
      </c>
      <c r="DW161" s="160">
        <v>1491</v>
      </c>
      <c r="DX161" s="160">
        <v>4477</v>
      </c>
      <c r="DY161" s="116">
        <v>3759</v>
      </c>
      <c r="DZ161" s="150"/>
      <c r="EA161" s="117">
        <v>-562</v>
      </c>
      <c r="EB161" s="116">
        <v>-1787</v>
      </c>
      <c r="EC161" s="159">
        <v>2168</v>
      </c>
      <c r="EE161" s="125"/>
      <c r="EF161" s="161"/>
      <c r="EG161" s="124"/>
      <c r="EH161" s="253">
        <v>21.25</v>
      </c>
      <c r="EI161" s="130"/>
      <c r="EJ161" s="125">
        <v>243</v>
      </c>
      <c r="EK161" s="116"/>
      <c r="EL161" s="159"/>
      <c r="EN161" s="116"/>
      <c r="EO161" s="116"/>
      <c r="EP161" s="159"/>
      <c r="EQ161" s="159">
        <v>-6716</v>
      </c>
      <c r="ER161" s="116">
        <v>525</v>
      </c>
      <c r="ES161" s="116">
        <v>130</v>
      </c>
      <c r="ET161" s="160">
        <v>-1795</v>
      </c>
      <c r="EU161" s="116">
        <v>20</v>
      </c>
      <c r="EV161" s="116">
        <v>34</v>
      </c>
      <c r="EW161" s="160">
        <v>-1968</v>
      </c>
      <c r="EX161" s="160">
        <v>92</v>
      </c>
      <c r="EY161" s="160">
        <v>285</v>
      </c>
      <c r="EZ161" s="116">
        <v>5453</v>
      </c>
      <c r="FA161" s="116">
        <v>3</v>
      </c>
      <c r="FB161" s="116">
        <v>2275</v>
      </c>
      <c r="FC161" s="160">
        <v>-19</v>
      </c>
      <c r="FD161" s="116">
        <v>182</v>
      </c>
      <c r="FE161" s="116">
        <v>-34</v>
      </c>
      <c r="FF161" s="3">
        <v>12443</v>
      </c>
      <c r="FG161" s="3">
        <v>10826</v>
      </c>
      <c r="FH161" s="3">
        <v>1617</v>
      </c>
      <c r="FI161" s="3">
        <v>0</v>
      </c>
      <c r="FJ161" s="125">
        <v>13091</v>
      </c>
      <c r="FK161" s="160">
        <v>11324</v>
      </c>
      <c r="FL161" s="125">
        <v>1767</v>
      </c>
      <c r="FM161" s="116">
        <v>0</v>
      </c>
      <c r="FN161" s="125">
        <v>11505</v>
      </c>
      <c r="FO161" s="116">
        <v>9685</v>
      </c>
      <c r="FP161" s="116">
        <v>1820</v>
      </c>
      <c r="FQ161" s="116">
        <v>-562</v>
      </c>
      <c r="FR161" s="153">
        <v>700</v>
      </c>
      <c r="FS161" s="153">
        <v>612</v>
      </c>
      <c r="FT161" s="276">
        <v>524</v>
      </c>
      <c r="FU161" s="3">
        <v>661</v>
      </c>
      <c r="FV161" s="159">
        <v>765</v>
      </c>
      <c r="FW161" s="170"/>
      <c r="FZ161" s="155"/>
      <c r="GA161" s="2"/>
      <c r="GD161" s="163"/>
      <c r="GE161" s="2"/>
      <c r="GF161" s="2"/>
    </row>
    <row r="162" spans="1:188" ht="14.5" x14ac:dyDescent="0.35">
      <c r="A162" s="72">
        <v>535</v>
      </c>
      <c r="B162" s="70" t="s">
        <v>158</v>
      </c>
      <c r="C162" s="158">
        <v>10737</v>
      </c>
      <c r="D162" s="171"/>
      <c r="E162" s="128">
        <v>1.2805171377029465</v>
      </c>
      <c r="F162" s="128">
        <v>88.944832361936633</v>
      </c>
      <c r="G162" s="129">
        <v>-7957.7163080935088</v>
      </c>
      <c r="H162" s="216"/>
      <c r="I162" s="172"/>
      <c r="J162" s="218"/>
      <c r="K162" s="128">
        <v>30.171771223869971</v>
      </c>
      <c r="L162" s="129">
        <v>2820.806556766322</v>
      </c>
      <c r="M162" s="129">
        <v>73.125549859434429</v>
      </c>
      <c r="N162" s="129">
        <v>14079.817453664898</v>
      </c>
      <c r="O162" s="129"/>
      <c r="P162" s="117">
        <v>65748</v>
      </c>
      <c r="Q162" s="161">
        <v>130564</v>
      </c>
      <c r="R162" s="161">
        <v>40</v>
      </c>
      <c r="S162" s="161">
        <v>-64776</v>
      </c>
      <c r="T162" s="124">
        <v>30941</v>
      </c>
      <c r="U162" s="124">
        <v>41943</v>
      </c>
      <c r="V162" s="136"/>
      <c r="X162" s="116">
        <v>-533</v>
      </c>
      <c r="Y162" s="116">
        <v>224</v>
      </c>
      <c r="Z162" s="161">
        <v>7799</v>
      </c>
      <c r="AA162" s="116">
        <v>6809</v>
      </c>
      <c r="AB162" s="116">
        <v>426</v>
      </c>
      <c r="AD162" s="161">
        <v>1416</v>
      </c>
      <c r="AE162" s="117">
        <v>9</v>
      </c>
      <c r="AF162" s="117">
        <v>498</v>
      </c>
      <c r="AG162" s="116">
        <v>-54</v>
      </c>
      <c r="AH162" s="116">
        <v>240</v>
      </c>
      <c r="AI162" s="160">
        <v>2109</v>
      </c>
      <c r="AJ162" s="161">
        <v>16483</v>
      </c>
      <c r="AK162" s="161">
        <v>7713</v>
      </c>
      <c r="AL162" s="150"/>
      <c r="AM162" s="161">
        <v>586</v>
      </c>
      <c r="AN162" s="161">
        <v>-5933</v>
      </c>
      <c r="AO162" s="160">
        <v>-4894</v>
      </c>
      <c r="AQ162" s="160"/>
      <c r="AR162" s="117"/>
      <c r="AS162" s="117"/>
      <c r="AT162" s="99">
        <v>21.5</v>
      </c>
      <c r="AU162" s="130"/>
      <c r="AV162" s="262">
        <v>71</v>
      </c>
      <c r="AW162" s="267">
        <v>10639</v>
      </c>
      <c r="AX162" s="124"/>
      <c r="AY162" s="255">
        <v>1.2305926244798393</v>
      </c>
      <c r="AZ162" s="259">
        <v>87.579269015843337</v>
      </c>
      <c r="BA162" s="160">
        <v>-8099.4454366011851</v>
      </c>
      <c r="BB162" s="130"/>
      <c r="BC162" s="130"/>
      <c r="BD162" s="130"/>
      <c r="BE162" s="128">
        <v>30.293102407489723</v>
      </c>
      <c r="BF162" s="160">
        <v>2969.1700347777046</v>
      </c>
      <c r="BG162" s="129">
        <v>73.034241959779081</v>
      </c>
      <c r="BH162" s="131">
        <v>14227.276999718018</v>
      </c>
      <c r="BI162" s="124"/>
      <c r="BJ162" s="117">
        <v>68936</v>
      </c>
      <c r="BK162" s="117">
        <v>136051</v>
      </c>
      <c r="BL162" s="161">
        <v>-37</v>
      </c>
      <c r="BM162" s="161">
        <v>-67152</v>
      </c>
      <c r="BN162" s="117">
        <v>32524</v>
      </c>
      <c r="BO162" s="117">
        <v>41881</v>
      </c>
      <c r="BP162" s="136"/>
      <c r="BR162" s="160">
        <v>-486</v>
      </c>
      <c r="BS162" s="160">
        <v>1132</v>
      </c>
      <c r="BT162" s="161">
        <v>7899</v>
      </c>
      <c r="BU162" s="125">
        <v>6682</v>
      </c>
      <c r="BV162" s="160">
        <v>0</v>
      </c>
      <c r="BW162" s="117"/>
      <c r="BX162" s="161">
        <v>1217</v>
      </c>
      <c r="BY162" s="161">
        <v>1</v>
      </c>
      <c r="BZ162" s="160">
        <v>-164</v>
      </c>
      <c r="CA162" s="160">
        <v>35</v>
      </c>
      <c r="CB162" s="160">
        <v>176</v>
      </c>
      <c r="CC162" s="160">
        <v>1195</v>
      </c>
      <c r="CD162" s="160">
        <v>17333</v>
      </c>
      <c r="CE162" s="116">
        <v>7729</v>
      </c>
      <c r="CF162" s="150"/>
      <c r="CG162" s="160">
        <v>-201</v>
      </c>
      <c r="CH162" s="160">
        <v>-6292</v>
      </c>
      <c r="CI162" s="159">
        <v>-562</v>
      </c>
      <c r="CK162" s="124"/>
      <c r="CL162" s="161"/>
      <c r="CM162" s="124"/>
      <c r="CN162" s="265">
        <v>22</v>
      </c>
      <c r="CO162" s="130"/>
      <c r="CP162" s="116">
        <v>49</v>
      </c>
      <c r="CQ162" s="267">
        <v>10500</v>
      </c>
      <c r="CR162" s="124"/>
      <c r="CS162" s="268">
        <v>0.72295140120610146</v>
      </c>
      <c r="CT162" s="269">
        <v>92.324574450504045</v>
      </c>
      <c r="CU162" s="160">
        <v>-8665.1428571428569</v>
      </c>
      <c r="CV162" s="130"/>
      <c r="CW162" s="130"/>
      <c r="CX162" s="130"/>
      <c r="CY162" s="269">
        <v>29.91523323253854</v>
      </c>
      <c r="CZ162" s="125">
        <v>3870.4761904761904</v>
      </c>
      <c r="DA162" s="125">
        <v>84.573018461292861</v>
      </c>
      <c r="DB162" s="273">
        <v>16704.190476190477</v>
      </c>
      <c r="DC162" s="124"/>
      <c r="DD162" s="117">
        <v>70446</v>
      </c>
      <c r="DE162" s="117">
        <v>137959</v>
      </c>
      <c r="DF162" s="117">
        <v>111</v>
      </c>
      <c r="DG162" s="117">
        <v>-67402</v>
      </c>
      <c r="DH162" s="117">
        <v>33552</v>
      </c>
      <c r="DI162" s="117">
        <v>47277</v>
      </c>
      <c r="DJ162" s="136"/>
      <c r="DL162" s="160">
        <v>-465</v>
      </c>
      <c r="DM162" s="160">
        <v>626</v>
      </c>
      <c r="DN162" s="161">
        <v>13588</v>
      </c>
      <c r="DO162" s="116">
        <v>8047</v>
      </c>
      <c r="DP162" s="160">
        <v>0</v>
      </c>
      <c r="DQ162" s="117"/>
      <c r="DR162" s="161">
        <v>5541</v>
      </c>
      <c r="DS162" s="117">
        <v>-3</v>
      </c>
      <c r="DT162" s="116">
        <v>-21</v>
      </c>
      <c r="DU162" s="116">
        <v>98</v>
      </c>
      <c r="DV162" s="116">
        <v>-296</v>
      </c>
      <c r="DW162" s="160">
        <v>5123</v>
      </c>
      <c r="DX162" s="160">
        <v>22400</v>
      </c>
      <c r="DY162" s="116">
        <v>13399</v>
      </c>
      <c r="DZ162" s="150"/>
      <c r="EA162" s="116">
        <v>-259</v>
      </c>
      <c r="EB162" s="116">
        <v>-19055</v>
      </c>
      <c r="EC162" s="159">
        <v>-3862</v>
      </c>
      <c r="EE162" s="125"/>
      <c r="EF162" s="161"/>
      <c r="EG162" s="124"/>
      <c r="EH162" s="253">
        <v>22</v>
      </c>
      <c r="EI162" s="130"/>
      <c r="EJ162" s="125">
        <v>54</v>
      </c>
      <c r="EK162" s="116"/>
      <c r="EL162" s="159"/>
      <c r="EN162" s="116"/>
      <c r="EO162" s="116"/>
      <c r="EP162" s="159"/>
      <c r="EQ162" s="159">
        <v>-13450</v>
      </c>
      <c r="ER162" s="116">
        <v>272</v>
      </c>
      <c r="ES162" s="116">
        <v>571</v>
      </c>
      <c r="ET162" s="160">
        <v>-8999</v>
      </c>
      <c r="EU162" s="116">
        <v>497</v>
      </c>
      <c r="EV162" s="116">
        <v>211</v>
      </c>
      <c r="EW162" s="160">
        <v>-17389</v>
      </c>
      <c r="EX162" s="160">
        <v>12</v>
      </c>
      <c r="EY162" s="160">
        <v>116</v>
      </c>
      <c r="EZ162" s="116">
        <v>18368</v>
      </c>
      <c r="FA162" s="116">
        <v>-5233</v>
      </c>
      <c r="FB162" s="116">
        <v>7330</v>
      </c>
      <c r="FC162" s="160">
        <v>1217</v>
      </c>
      <c r="FD162" s="116">
        <v>35784</v>
      </c>
      <c r="FE162" s="116">
        <v>-2675</v>
      </c>
      <c r="FF162" s="3">
        <v>100419</v>
      </c>
      <c r="FG162" s="3">
        <v>69413</v>
      </c>
      <c r="FH162" s="3">
        <v>31006</v>
      </c>
      <c r="FI162" s="3">
        <v>3</v>
      </c>
      <c r="FJ162" s="125">
        <v>102674</v>
      </c>
      <c r="FK162" s="160">
        <v>69878</v>
      </c>
      <c r="FL162" s="125">
        <v>32796</v>
      </c>
      <c r="FM162" s="116">
        <v>3</v>
      </c>
      <c r="FN162" s="125">
        <v>116398</v>
      </c>
      <c r="FO162" s="116">
        <v>84773</v>
      </c>
      <c r="FP162" s="116">
        <v>31625</v>
      </c>
      <c r="FQ162" s="116">
        <v>-259</v>
      </c>
      <c r="FR162" s="153">
        <v>6944</v>
      </c>
      <c r="FS162" s="153">
        <v>6951</v>
      </c>
      <c r="FT162" s="276">
        <v>6621</v>
      </c>
      <c r="FU162" s="3">
        <v>703</v>
      </c>
      <c r="FV162" s="159">
        <v>857</v>
      </c>
      <c r="FW162" s="170"/>
      <c r="FZ162" s="155"/>
      <c r="GA162" s="2"/>
      <c r="GD162" s="163"/>
      <c r="GE162" s="2"/>
      <c r="GF162" s="2"/>
    </row>
    <row r="163" spans="1:188" ht="14.5" x14ac:dyDescent="0.35">
      <c r="A163" s="72">
        <v>536</v>
      </c>
      <c r="B163" s="70" t="s">
        <v>159</v>
      </c>
      <c r="C163" s="158">
        <v>33527</v>
      </c>
      <c r="D163" s="171"/>
      <c r="E163" s="128">
        <v>1.5153647329121194</v>
      </c>
      <c r="F163" s="128">
        <v>68.301072417653643</v>
      </c>
      <c r="G163" s="129">
        <v>-3814.0603096012173</v>
      </c>
      <c r="H163" s="216"/>
      <c r="I163" s="172"/>
      <c r="J163" s="218"/>
      <c r="K163" s="128">
        <v>32.464122895712485</v>
      </c>
      <c r="L163" s="129">
        <v>1220.687803859576</v>
      </c>
      <c r="M163" s="129">
        <v>51.613715754667112</v>
      </c>
      <c r="N163" s="129">
        <v>8632.415664986429</v>
      </c>
      <c r="O163" s="129"/>
      <c r="P163" s="117">
        <v>96109</v>
      </c>
      <c r="Q163" s="161">
        <v>251425</v>
      </c>
      <c r="R163" s="161">
        <v>16</v>
      </c>
      <c r="S163" s="161">
        <v>-155300</v>
      </c>
      <c r="T163" s="124">
        <v>135598</v>
      </c>
      <c r="U163" s="124">
        <v>39829</v>
      </c>
      <c r="V163" s="136"/>
      <c r="X163" s="116">
        <v>-1157</v>
      </c>
      <c r="Y163" s="116">
        <v>907</v>
      </c>
      <c r="Z163" s="161">
        <v>19877</v>
      </c>
      <c r="AA163" s="116">
        <v>20698</v>
      </c>
      <c r="AB163" s="116">
        <v>0</v>
      </c>
      <c r="AD163" s="161">
        <v>-821</v>
      </c>
      <c r="AE163" s="116">
        <v>-179</v>
      </c>
      <c r="AF163" s="116">
        <v>1</v>
      </c>
      <c r="AG163" s="116">
        <v>-351</v>
      </c>
      <c r="AH163" s="117">
        <v>-73</v>
      </c>
      <c r="AI163" s="160">
        <v>-1423</v>
      </c>
      <c r="AJ163" s="161">
        <v>7778</v>
      </c>
      <c r="AK163" s="161">
        <v>16816</v>
      </c>
      <c r="AL163" s="150"/>
      <c r="AM163" s="161">
        <v>-3287</v>
      </c>
      <c r="AN163" s="161">
        <v>-12699</v>
      </c>
      <c r="AO163" s="160">
        <v>-1535</v>
      </c>
      <c r="AQ163" s="160"/>
      <c r="AR163" s="117"/>
      <c r="AS163" s="117"/>
      <c r="AT163" s="99">
        <v>20.5</v>
      </c>
      <c r="AU163" s="130"/>
      <c r="AV163" s="262">
        <v>117</v>
      </c>
      <c r="AW163" s="267">
        <v>33929</v>
      </c>
      <c r="AX163" s="124"/>
      <c r="AY163" s="255">
        <v>1.1929836748871137</v>
      </c>
      <c r="AZ163" s="259">
        <v>69.215110603310507</v>
      </c>
      <c r="BA163" s="160">
        <v>-4068.4370302690913</v>
      </c>
      <c r="BB163" s="130"/>
      <c r="BC163" s="130"/>
      <c r="BD163" s="130"/>
      <c r="BE163" s="128">
        <v>31.182574745710468</v>
      </c>
      <c r="BF163" s="160">
        <v>1129.9183589259924</v>
      </c>
      <c r="BG163" s="129">
        <v>48.758005026601822</v>
      </c>
      <c r="BH163" s="131">
        <v>9029.7385717233046</v>
      </c>
      <c r="BI163" s="124"/>
      <c r="BJ163" s="117">
        <v>99426</v>
      </c>
      <c r="BK163" s="117">
        <v>260345</v>
      </c>
      <c r="BL163" s="161">
        <v>86</v>
      </c>
      <c r="BM163" s="161">
        <v>-160833</v>
      </c>
      <c r="BN163" s="117">
        <v>138361</v>
      </c>
      <c r="BO163" s="117">
        <v>38787</v>
      </c>
      <c r="BP163" s="136"/>
      <c r="BR163" s="160">
        <v>-1234</v>
      </c>
      <c r="BS163" s="160">
        <v>797</v>
      </c>
      <c r="BT163" s="161">
        <v>15878</v>
      </c>
      <c r="BU163" s="125">
        <v>20062</v>
      </c>
      <c r="BV163" s="160">
        <v>0</v>
      </c>
      <c r="BX163" s="161">
        <v>-4184</v>
      </c>
      <c r="BY163" s="160">
        <v>-166</v>
      </c>
      <c r="BZ163" s="160">
        <v>0</v>
      </c>
      <c r="CA163" s="161">
        <v>242</v>
      </c>
      <c r="CB163" s="161">
        <v>-79</v>
      </c>
      <c r="CC163" s="160">
        <v>-4671</v>
      </c>
      <c r="CD163" s="160">
        <v>3049</v>
      </c>
      <c r="CE163" s="116">
        <v>13403</v>
      </c>
      <c r="CF163" s="150"/>
      <c r="CG163" s="161">
        <v>1588</v>
      </c>
      <c r="CH163" s="160">
        <v>-13100</v>
      </c>
      <c r="CI163" s="159">
        <v>-13738</v>
      </c>
      <c r="CK163" s="124"/>
      <c r="CL163" s="161"/>
      <c r="CM163" s="124"/>
      <c r="CN163" s="265">
        <v>20.5</v>
      </c>
      <c r="CO163" s="130"/>
      <c r="CP163" s="116">
        <v>132</v>
      </c>
      <c r="CQ163" s="267">
        <v>34476</v>
      </c>
      <c r="CR163" s="124"/>
      <c r="CS163" s="268">
        <v>2.6216639385097147</v>
      </c>
      <c r="CT163" s="269">
        <v>69.291379772577173</v>
      </c>
      <c r="CU163" s="160">
        <v>-4114.7174846269872</v>
      </c>
      <c r="CV163" s="130"/>
      <c r="CW163" s="130"/>
      <c r="CX163" s="130"/>
      <c r="CY163" s="269">
        <v>32.433214996097391</v>
      </c>
      <c r="CZ163" s="125">
        <v>1537.6493792783385</v>
      </c>
      <c r="DA163" s="125">
        <v>60.023575906664227</v>
      </c>
      <c r="DB163" s="273">
        <v>9350.3596704954161</v>
      </c>
      <c r="DC163" s="124"/>
      <c r="DD163" s="117">
        <v>105618</v>
      </c>
      <c r="DE163" s="117">
        <v>270151</v>
      </c>
      <c r="DF163" s="117">
        <v>148</v>
      </c>
      <c r="DG163" s="117">
        <v>-164385</v>
      </c>
      <c r="DH163" s="117">
        <v>147334</v>
      </c>
      <c r="DI163" s="117">
        <v>52910</v>
      </c>
      <c r="DJ163" s="136"/>
      <c r="DL163" s="160">
        <v>-1397</v>
      </c>
      <c r="DM163" s="160">
        <v>944</v>
      </c>
      <c r="DN163" s="161">
        <v>35406</v>
      </c>
      <c r="DO163" s="116">
        <v>19542</v>
      </c>
      <c r="DP163" s="160">
        <v>0</v>
      </c>
      <c r="DR163" s="161">
        <v>15864</v>
      </c>
      <c r="DS163" s="116">
        <v>-593</v>
      </c>
      <c r="DT163" s="116">
        <v>1</v>
      </c>
      <c r="DU163" s="117">
        <v>615</v>
      </c>
      <c r="DV163" s="117">
        <v>-209</v>
      </c>
      <c r="DW163" s="160">
        <v>14448</v>
      </c>
      <c r="DX163" s="160">
        <v>17497</v>
      </c>
      <c r="DY163" s="116">
        <v>31020</v>
      </c>
      <c r="DZ163" s="150"/>
      <c r="EA163" s="117">
        <v>-2013</v>
      </c>
      <c r="EB163" s="116">
        <v>-12620</v>
      </c>
      <c r="EC163" s="159">
        <v>-3176</v>
      </c>
      <c r="EE163" s="125"/>
      <c r="EF163" s="161"/>
      <c r="EG163" s="124"/>
      <c r="EH163" s="253">
        <v>21</v>
      </c>
      <c r="EI163" s="130"/>
      <c r="EJ163" s="125">
        <v>121</v>
      </c>
      <c r="EK163" s="116"/>
      <c r="EL163" s="159"/>
      <c r="EN163" s="116"/>
      <c r="EO163" s="116"/>
      <c r="EP163" s="159"/>
      <c r="EQ163" s="159">
        <v>-23548</v>
      </c>
      <c r="ER163" s="116">
        <v>1693</v>
      </c>
      <c r="ES163" s="116">
        <v>3504</v>
      </c>
      <c r="ET163" s="160">
        <v>-31162</v>
      </c>
      <c r="EU163" s="116">
        <v>2174</v>
      </c>
      <c r="EV163" s="116">
        <v>1847</v>
      </c>
      <c r="EW163" s="160">
        <v>-37921</v>
      </c>
      <c r="EX163" s="160">
        <v>0</v>
      </c>
      <c r="EY163" s="160">
        <v>3725</v>
      </c>
      <c r="EZ163" s="116">
        <v>23009</v>
      </c>
      <c r="FA163" s="116">
        <v>-80</v>
      </c>
      <c r="FB163" s="116">
        <v>18734</v>
      </c>
      <c r="FC163" s="160">
        <v>7</v>
      </c>
      <c r="FD163" s="116">
        <v>25836</v>
      </c>
      <c r="FE163" s="116">
        <v>-579</v>
      </c>
      <c r="FF163" s="3">
        <v>144253</v>
      </c>
      <c r="FG163" s="3">
        <v>131186</v>
      </c>
      <c r="FH163" s="3">
        <v>13067</v>
      </c>
      <c r="FI163" s="3">
        <v>66</v>
      </c>
      <c r="FJ163" s="125">
        <v>149897</v>
      </c>
      <c r="FK163" s="160">
        <v>137297</v>
      </c>
      <c r="FL163" s="125">
        <v>12600</v>
      </c>
      <c r="FM163" s="116">
        <v>60</v>
      </c>
      <c r="FN163" s="125">
        <v>163236</v>
      </c>
      <c r="FO163" s="116">
        <v>148307</v>
      </c>
      <c r="FP163" s="116">
        <v>14929</v>
      </c>
      <c r="FQ163" s="116">
        <v>-2013</v>
      </c>
      <c r="FR163" s="153">
        <v>2090</v>
      </c>
      <c r="FS163" s="153">
        <v>888</v>
      </c>
      <c r="FT163" s="276">
        <v>453</v>
      </c>
      <c r="FU163" s="3">
        <v>57053</v>
      </c>
      <c r="FV163" s="159">
        <v>58881</v>
      </c>
      <c r="FW163" s="170"/>
      <c r="FZ163" s="155"/>
      <c r="GA163" s="2"/>
      <c r="GD163" s="163"/>
      <c r="GE163" s="2"/>
      <c r="GF163" s="2"/>
    </row>
    <row r="164" spans="1:188" ht="14.5" x14ac:dyDescent="0.35">
      <c r="A164" s="72">
        <v>538</v>
      </c>
      <c r="B164" s="70" t="s">
        <v>160</v>
      </c>
      <c r="C164" s="158">
        <v>4733</v>
      </c>
      <c r="D164" s="171"/>
      <c r="E164" s="128">
        <v>0.47956671590349581</v>
      </c>
      <c r="F164" s="128">
        <v>40.39194688370101</v>
      </c>
      <c r="G164" s="129">
        <v>-3210.0147897739275</v>
      </c>
      <c r="H164" s="216"/>
      <c r="I164" s="172"/>
      <c r="J164" s="218"/>
      <c r="K164" s="128">
        <v>40.590024330900242</v>
      </c>
      <c r="L164" s="129">
        <v>196.70399323896049</v>
      </c>
      <c r="M164" s="129">
        <v>6.8773147679666469</v>
      </c>
      <c r="N164" s="129">
        <v>10439.678850623282</v>
      </c>
      <c r="O164" s="129"/>
      <c r="P164" s="117">
        <v>20199</v>
      </c>
      <c r="Q164" s="161">
        <v>45671</v>
      </c>
      <c r="R164" s="161">
        <v>1</v>
      </c>
      <c r="S164" s="161">
        <v>-25471</v>
      </c>
      <c r="T164" s="124">
        <v>17787</v>
      </c>
      <c r="U164" s="124">
        <v>8704</v>
      </c>
      <c r="V164" s="136"/>
      <c r="X164" s="116">
        <v>-95</v>
      </c>
      <c r="Y164" s="116">
        <v>-47</v>
      </c>
      <c r="Z164" s="161">
        <v>878</v>
      </c>
      <c r="AA164" s="116">
        <v>2250</v>
      </c>
      <c r="AB164" s="117">
        <v>0</v>
      </c>
      <c r="AD164" s="161">
        <v>-1372</v>
      </c>
      <c r="AE164" s="117">
        <v>-1</v>
      </c>
      <c r="AF164" s="117">
        <v>0</v>
      </c>
      <c r="AG164" s="116">
        <v>0</v>
      </c>
      <c r="AH164" s="116">
        <v>0</v>
      </c>
      <c r="AI164" s="160">
        <v>-1373</v>
      </c>
      <c r="AJ164" s="161">
        <v>584</v>
      </c>
      <c r="AK164" s="161">
        <v>892</v>
      </c>
      <c r="AL164" s="150"/>
      <c r="AM164" s="161">
        <v>468</v>
      </c>
      <c r="AN164" s="161">
        <v>-1935</v>
      </c>
      <c r="AO164" s="160">
        <v>-698</v>
      </c>
      <c r="AQ164" s="160"/>
      <c r="AR164" s="117"/>
      <c r="AS164" s="117"/>
      <c r="AT164" s="99">
        <v>21.5</v>
      </c>
      <c r="AU164" s="130"/>
      <c r="AV164" s="262">
        <v>252</v>
      </c>
      <c r="AW164" s="267">
        <v>4715</v>
      </c>
      <c r="AX164" s="124"/>
      <c r="AY164" s="255">
        <v>0.20607504466944609</v>
      </c>
      <c r="AZ164" s="259">
        <v>48.756914859795259</v>
      </c>
      <c r="BA164" s="160">
        <v>-3831.8133616118766</v>
      </c>
      <c r="BB164" s="130"/>
      <c r="BC164" s="130"/>
      <c r="BD164" s="130"/>
      <c r="BE164" s="128">
        <v>33.612410046761681</v>
      </c>
      <c r="BF164" s="160">
        <v>388.33510074231174</v>
      </c>
      <c r="BG164" s="129">
        <v>6.714913290362186</v>
      </c>
      <c r="BH164" s="131">
        <v>11055.779427359492</v>
      </c>
      <c r="BI164" s="124"/>
      <c r="BJ164" s="117">
        <v>20854</v>
      </c>
      <c r="BK164" s="117">
        <v>46797</v>
      </c>
      <c r="BL164" s="161">
        <v>8</v>
      </c>
      <c r="BM164" s="161">
        <v>-25935</v>
      </c>
      <c r="BN164" s="117">
        <v>17507</v>
      </c>
      <c r="BO164" s="117">
        <v>8820</v>
      </c>
      <c r="BP164" s="136"/>
      <c r="BR164" s="160">
        <v>-84</v>
      </c>
      <c r="BS164" s="160">
        <v>-50</v>
      </c>
      <c r="BT164" s="161">
        <v>258</v>
      </c>
      <c r="BU164" s="125">
        <v>1683</v>
      </c>
      <c r="BV164" s="161">
        <v>0</v>
      </c>
      <c r="BX164" s="161">
        <v>-1425</v>
      </c>
      <c r="BY164" s="161">
        <v>0</v>
      </c>
      <c r="BZ164" s="160">
        <v>0</v>
      </c>
      <c r="CA164" s="160">
        <v>0</v>
      </c>
      <c r="CB164" s="160">
        <v>0</v>
      </c>
      <c r="CC164" s="160">
        <v>-1425</v>
      </c>
      <c r="CD164" s="160">
        <v>-762</v>
      </c>
      <c r="CE164" s="116">
        <v>163</v>
      </c>
      <c r="CF164" s="150"/>
      <c r="CG164" s="161">
        <v>-371</v>
      </c>
      <c r="CH164" s="160">
        <v>-1591</v>
      </c>
      <c r="CI164" s="159">
        <v>-3060</v>
      </c>
      <c r="CK164" s="124"/>
      <c r="CL164" s="161"/>
      <c r="CM164" s="124"/>
      <c r="CN164" s="265">
        <v>21.5</v>
      </c>
      <c r="CO164" s="130"/>
      <c r="CP164" s="116">
        <v>268</v>
      </c>
      <c r="CQ164" s="267">
        <v>4693</v>
      </c>
      <c r="CR164" s="124"/>
      <c r="CS164" s="268">
        <v>3.0964373464373462</v>
      </c>
      <c r="CT164" s="269">
        <v>53.151826373413428</v>
      </c>
      <c r="CU164" s="160">
        <v>-4699.7656083528664</v>
      </c>
      <c r="CV164" s="130"/>
      <c r="CW164" s="130"/>
      <c r="CX164" s="130"/>
      <c r="CY164" s="269">
        <v>34.441590893315748</v>
      </c>
      <c r="CZ164" s="125">
        <v>396.97421691881522</v>
      </c>
      <c r="DA164" s="125">
        <v>11.79891379789006</v>
      </c>
      <c r="DB164" s="273">
        <v>12280.41764329853</v>
      </c>
      <c r="DC164" s="124"/>
      <c r="DD164" s="117">
        <v>21316</v>
      </c>
      <c r="DE164" s="117">
        <v>46552</v>
      </c>
      <c r="DF164" s="117">
        <v>10</v>
      </c>
      <c r="DG164" s="117">
        <v>-25226</v>
      </c>
      <c r="DH164" s="117">
        <v>18469</v>
      </c>
      <c r="DI164" s="117">
        <v>11820</v>
      </c>
      <c r="DJ164" s="136"/>
      <c r="DL164" s="160">
        <v>-48</v>
      </c>
      <c r="DM164" s="160">
        <v>-50</v>
      </c>
      <c r="DN164" s="161">
        <v>4965</v>
      </c>
      <c r="DO164" s="116">
        <v>2084</v>
      </c>
      <c r="DP164" s="161">
        <v>0</v>
      </c>
      <c r="DR164" s="161">
        <v>2881</v>
      </c>
      <c r="DS164" s="117">
        <v>-2</v>
      </c>
      <c r="DT164" s="116">
        <v>0</v>
      </c>
      <c r="DU164" s="116">
        <v>0</v>
      </c>
      <c r="DV164" s="116">
        <v>1</v>
      </c>
      <c r="DW164" s="160">
        <v>2880</v>
      </c>
      <c r="DX164" s="160">
        <v>2119</v>
      </c>
      <c r="DY164" s="116">
        <v>4836</v>
      </c>
      <c r="DZ164" s="150"/>
      <c r="EA164" s="117">
        <v>-405</v>
      </c>
      <c r="EB164" s="116">
        <v>-1552</v>
      </c>
      <c r="EC164" s="159">
        <v>-3994</v>
      </c>
      <c r="EE164" s="125"/>
      <c r="EF164" s="161"/>
      <c r="EG164" s="124"/>
      <c r="EH164" s="253">
        <v>21.5</v>
      </c>
      <c r="EI164" s="130"/>
      <c r="EJ164" s="125">
        <v>112</v>
      </c>
      <c r="EK164" s="116"/>
      <c r="EL164" s="159"/>
      <c r="EN164" s="116"/>
      <c r="EO164" s="116"/>
      <c r="EP164" s="159"/>
      <c r="EQ164" s="159">
        <v>-1638</v>
      </c>
      <c r="ER164" s="116">
        <v>20</v>
      </c>
      <c r="ES164" s="116">
        <v>28</v>
      </c>
      <c r="ET164" s="160">
        <v>-3581</v>
      </c>
      <c r="EU164" s="116">
        <v>230</v>
      </c>
      <c r="EV164" s="116">
        <v>128</v>
      </c>
      <c r="EW164" s="160">
        <v>-9378</v>
      </c>
      <c r="EX164" s="160">
        <v>396</v>
      </c>
      <c r="EY164" s="160">
        <v>152</v>
      </c>
      <c r="EZ164" s="116">
        <v>1809</v>
      </c>
      <c r="FA164" s="116">
        <v>94</v>
      </c>
      <c r="FB164" s="116">
        <v>4</v>
      </c>
      <c r="FC164" s="160">
        <v>4960</v>
      </c>
      <c r="FD164" s="116">
        <v>5010</v>
      </c>
      <c r="FE164" s="116">
        <v>229</v>
      </c>
      <c r="FF164" s="3">
        <v>10912</v>
      </c>
      <c r="FG164" s="3">
        <v>8875</v>
      </c>
      <c r="FH164" s="3">
        <v>2037</v>
      </c>
      <c r="FI164" s="3">
        <v>145</v>
      </c>
      <c r="FJ164" s="125">
        <v>14286</v>
      </c>
      <c r="FK164" s="160">
        <v>7223</v>
      </c>
      <c r="FL164" s="125">
        <v>7063</v>
      </c>
      <c r="FM164" s="116">
        <v>145</v>
      </c>
      <c r="FN164" s="125">
        <v>17972</v>
      </c>
      <c r="FO164" s="116">
        <v>10173</v>
      </c>
      <c r="FP164" s="116">
        <v>7799</v>
      </c>
      <c r="FQ164" s="116">
        <v>-405</v>
      </c>
      <c r="FR164" s="153">
        <v>1653</v>
      </c>
      <c r="FS164" s="153">
        <v>1166</v>
      </c>
      <c r="FT164" s="276">
        <v>1511</v>
      </c>
      <c r="FU164" s="3">
        <v>2422</v>
      </c>
      <c r="FV164" s="159">
        <v>3022</v>
      </c>
      <c r="FW164" s="170"/>
      <c r="FZ164" s="155"/>
      <c r="GA164" s="2"/>
      <c r="GD164" s="163"/>
      <c r="GE164" s="2"/>
      <c r="GF164" s="2"/>
    </row>
    <row r="165" spans="1:188" ht="14.5" x14ac:dyDescent="0.35">
      <c r="A165" s="72">
        <v>541</v>
      </c>
      <c r="B165" s="70" t="s">
        <v>161</v>
      </c>
      <c r="C165" s="158">
        <v>7641</v>
      </c>
      <c r="D165" s="171"/>
      <c r="E165" s="128">
        <v>2.5514109633473887</v>
      </c>
      <c r="F165" s="128">
        <v>30.528622976866163</v>
      </c>
      <c r="G165" s="129">
        <v>-2266.9807616804082</v>
      </c>
      <c r="H165" s="216"/>
      <c r="I165" s="172"/>
      <c r="J165" s="218"/>
      <c r="K165" s="128">
        <v>60.518786280304724</v>
      </c>
      <c r="L165" s="129">
        <v>1181.2589975134144</v>
      </c>
      <c r="M165" s="129">
        <v>29.886332710416024</v>
      </c>
      <c r="N165" s="129">
        <v>14426.645726999084</v>
      </c>
      <c r="O165" s="129"/>
      <c r="P165" s="117">
        <v>51113</v>
      </c>
      <c r="Q165" s="161">
        <v>97013</v>
      </c>
      <c r="R165" s="161">
        <v>1</v>
      </c>
      <c r="S165" s="161">
        <v>-45899</v>
      </c>
      <c r="T165" s="124">
        <v>23619</v>
      </c>
      <c r="U165" s="124">
        <v>29747</v>
      </c>
      <c r="V165" s="136"/>
      <c r="X165" s="116">
        <v>-235</v>
      </c>
      <c r="Y165" s="116">
        <v>341</v>
      </c>
      <c r="Z165" s="161">
        <v>7573</v>
      </c>
      <c r="AA165" s="116">
        <v>5987</v>
      </c>
      <c r="AB165" s="117">
        <v>-9</v>
      </c>
      <c r="AD165" s="161">
        <v>1577</v>
      </c>
      <c r="AE165" s="117">
        <v>55</v>
      </c>
      <c r="AF165" s="117">
        <v>-35</v>
      </c>
      <c r="AG165" s="116">
        <v>-40</v>
      </c>
      <c r="AH165" s="116">
        <v>-5</v>
      </c>
      <c r="AI165" s="160">
        <v>1552</v>
      </c>
      <c r="AJ165" s="161">
        <v>25362</v>
      </c>
      <c r="AK165" s="161">
        <v>7556</v>
      </c>
      <c r="AL165" s="150"/>
      <c r="AM165" s="161">
        <v>-215</v>
      </c>
      <c r="AN165" s="161">
        <v>-2790</v>
      </c>
      <c r="AO165" s="160">
        <v>-1360</v>
      </c>
      <c r="AQ165" s="160"/>
      <c r="AR165" s="117"/>
      <c r="AS165" s="117"/>
      <c r="AT165" s="99">
        <v>20.5</v>
      </c>
      <c r="AU165" s="130"/>
      <c r="AV165" s="262">
        <v>24</v>
      </c>
      <c r="AW165" s="267">
        <v>7455</v>
      </c>
      <c r="AX165" s="124"/>
      <c r="AY165" s="255">
        <v>1.6699438202247192</v>
      </c>
      <c r="AZ165" s="259">
        <v>36.894837403397368</v>
      </c>
      <c r="BA165" s="160">
        <v>-3115.627095908786</v>
      </c>
      <c r="BB165" s="130"/>
      <c r="BC165" s="130"/>
      <c r="BD165" s="130"/>
      <c r="BE165" s="128">
        <v>56.264096555214486</v>
      </c>
      <c r="BF165" s="160">
        <v>1165.6606304493628</v>
      </c>
      <c r="BG165" s="129">
        <v>28.595769427735679</v>
      </c>
      <c r="BH165" s="131">
        <v>15453.923541247486</v>
      </c>
      <c r="BI165" s="124"/>
      <c r="BJ165" s="117">
        <v>51923</v>
      </c>
      <c r="BK165" s="117">
        <v>99689</v>
      </c>
      <c r="BL165" s="161">
        <v>-1</v>
      </c>
      <c r="BM165" s="161">
        <v>-47767</v>
      </c>
      <c r="BN165" s="117">
        <v>24024</v>
      </c>
      <c r="BO165" s="117">
        <v>29252</v>
      </c>
      <c r="BP165" s="136"/>
      <c r="BR165" s="160">
        <v>-144</v>
      </c>
      <c r="BS165" s="160">
        <v>368</v>
      </c>
      <c r="BT165" s="161">
        <v>5733</v>
      </c>
      <c r="BU165" s="125">
        <v>6374</v>
      </c>
      <c r="BV165" s="161">
        <v>0</v>
      </c>
      <c r="BX165" s="161">
        <v>-641</v>
      </c>
      <c r="BY165" s="161">
        <v>-16</v>
      </c>
      <c r="BZ165" s="161">
        <v>-40</v>
      </c>
      <c r="CA165" s="160">
        <v>59</v>
      </c>
      <c r="CB165" s="160">
        <v>-4</v>
      </c>
      <c r="CC165" s="160">
        <v>-760</v>
      </c>
      <c r="CD165" s="160">
        <v>24484</v>
      </c>
      <c r="CE165" s="116">
        <v>5475</v>
      </c>
      <c r="CF165" s="150"/>
      <c r="CG165" s="161">
        <v>-1348</v>
      </c>
      <c r="CH165" s="160">
        <v>-3348</v>
      </c>
      <c r="CI165" s="159">
        <v>-5974</v>
      </c>
      <c r="CK165" s="124"/>
      <c r="CL165" s="161"/>
      <c r="CM165" s="124"/>
      <c r="CN165" s="265">
        <v>20.5</v>
      </c>
      <c r="CO165" s="130"/>
      <c r="CP165" s="116">
        <v>44</v>
      </c>
      <c r="CQ165" s="267">
        <v>9501</v>
      </c>
      <c r="CR165" s="124"/>
      <c r="CS165" s="268">
        <v>2.8350923482849604</v>
      </c>
      <c r="CT165" s="269">
        <v>34.507250874619118</v>
      </c>
      <c r="CU165" s="160">
        <v>-2673.0870434691087</v>
      </c>
      <c r="CV165" s="130"/>
      <c r="CW165" s="130"/>
      <c r="CX165" s="130"/>
      <c r="CY165" s="269">
        <v>58.269478763675693</v>
      </c>
      <c r="CZ165" s="125">
        <v>1325.5446795074201</v>
      </c>
      <c r="DA165" s="125">
        <v>30.917681716987605</v>
      </c>
      <c r="DB165" s="273">
        <v>15648.773813282813</v>
      </c>
      <c r="DC165" s="124"/>
      <c r="DD165" s="117">
        <v>68585</v>
      </c>
      <c r="DE165" s="117">
        <v>131649</v>
      </c>
      <c r="DF165" s="117">
        <v>0</v>
      </c>
      <c r="DG165" s="117">
        <v>-63064</v>
      </c>
      <c r="DH165" s="117">
        <v>29852</v>
      </c>
      <c r="DI165" s="117">
        <v>43339</v>
      </c>
      <c r="DJ165" s="136"/>
      <c r="DL165" s="160">
        <v>-173</v>
      </c>
      <c r="DM165" s="160">
        <v>493</v>
      </c>
      <c r="DN165" s="161">
        <v>10447</v>
      </c>
      <c r="DO165" s="116">
        <v>7252</v>
      </c>
      <c r="DP165" s="161">
        <v>0</v>
      </c>
      <c r="DR165" s="161">
        <v>3195</v>
      </c>
      <c r="DS165" s="117">
        <v>-5</v>
      </c>
      <c r="DT165" s="117">
        <v>-30</v>
      </c>
      <c r="DU165" s="116">
        <v>94</v>
      </c>
      <c r="DV165" s="116">
        <v>-1</v>
      </c>
      <c r="DW165" s="160">
        <v>3065</v>
      </c>
      <c r="DX165" s="160">
        <v>30576</v>
      </c>
      <c r="DY165" s="116">
        <v>10762</v>
      </c>
      <c r="DZ165" s="150"/>
      <c r="EA165" s="117">
        <v>-1138</v>
      </c>
      <c r="EB165" s="116">
        <v>-3492</v>
      </c>
      <c r="EC165" s="159">
        <v>1865</v>
      </c>
      <c r="EE165" s="125"/>
      <c r="EF165" s="161"/>
      <c r="EG165" s="124"/>
      <c r="EH165" s="253">
        <v>20.5</v>
      </c>
      <c r="EI165" s="130"/>
      <c r="EJ165" s="125">
        <v>103</v>
      </c>
      <c r="EK165" s="116"/>
      <c r="EL165" s="159"/>
      <c r="EN165" s="116"/>
      <c r="EO165" s="116"/>
      <c r="EP165" s="159"/>
      <c r="EQ165" s="159">
        <v>-10090</v>
      </c>
      <c r="ER165" s="116">
        <v>1045</v>
      </c>
      <c r="ES165" s="116">
        <v>129</v>
      </c>
      <c r="ET165" s="160">
        <v>-11751</v>
      </c>
      <c r="EU165" s="116">
        <v>252</v>
      </c>
      <c r="EV165" s="116">
        <v>50</v>
      </c>
      <c r="EW165" s="160">
        <v>-13088</v>
      </c>
      <c r="EX165" s="160">
        <v>157</v>
      </c>
      <c r="EY165" s="160">
        <v>4034</v>
      </c>
      <c r="EZ165" s="116">
        <v>1759</v>
      </c>
      <c r="FA165" s="116">
        <v>-28</v>
      </c>
      <c r="FB165" s="116">
        <v>6708</v>
      </c>
      <c r="FC165" s="160">
        <v>2734</v>
      </c>
      <c r="FD165" s="116">
        <v>4452</v>
      </c>
      <c r="FE165" s="116">
        <v>-1078</v>
      </c>
      <c r="FF165" s="3">
        <v>19279</v>
      </c>
      <c r="FG165" s="3">
        <v>16522</v>
      </c>
      <c r="FH165" s="3">
        <v>2757</v>
      </c>
      <c r="FI165" s="3">
        <v>70</v>
      </c>
      <c r="FJ165" s="125">
        <v>25373</v>
      </c>
      <c r="FK165" s="160">
        <v>19449</v>
      </c>
      <c r="FL165" s="125">
        <v>5924</v>
      </c>
      <c r="FM165" s="116">
        <v>-116</v>
      </c>
      <c r="FN165" s="125">
        <v>32089</v>
      </c>
      <c r="FO165" s="116">
        <v>26839</v>
      </c>
      <c r="FP165" s="116">
        <v>5250</v>
      </c>
      <c r="FQ165" s="116">
        <v>-1138</v>
      </c>
      <c r="FR165" s="153">
        <v>1941</v>
      </c>
      <c r="FS165" s="153">
        <v>334</v>
      </c>
      <c r="FT165" s="276">
        <v>813</v>
      </c>
      <c r="FU165" s="3">
        <v>1861</v>
      </c>
      <c r="FV165" s="159">
        <v>6948</v>
      </c>
      <c r="FW165" s="170"/>
      <c r="FZ165" s="155"/>
      <c r="GA165" s="2"/>
      <c r="GD165" s="163"/>
      <c r="GE165" s="2"/>
      <c r="GF165" s="2"/>
    </row>
    <row r="166" spans="1:188" ht="14.5" x14ac:dyDescent="0.35">
      <c r="A166" s="72">
        <v>543</v>
      </c>
      <c r="B166" s="70" t="s">
        <v>162</v>
      </c>
      <c r="C166" s="158">
        <v>42665</v>
      </c>
      <c r="D166" s="171"/>
      <c r="E166" s="128">
        <v>1.5724996560737379</v>
      </c>
      <c r="F166" s="128">
        <v>78.230920621036518</v>
      </c>
      <c r="G166" s="129">
        <v>-6751.2715340442983</v>
      </c>
      <c r="H166" s="216"/>
      <c r="I166" s="172"/>
      <c r="J166" s="218"/>
      <c r="K166" s="128">
        <v>33.014633971270399</v>
      </c>
      <c r="L166" s="129">
        <v>1235.9545294738075</v>
      </c>
      <c r="M166" s="129">
        <v>37.583339842224483</v>
      </c>
      <c r="N166" s="129">
        <v>12003.281378178835</v>
      </c>
      <c r="O166" s="129"/>
      <c r="P166" s="117">
        <v>250158</v>
      </c>
      <c r="Q166" s="161">
        <v>444329</v>
      </c>
      <c r="R166" s="161">
        <v>-15</v>
      </c>
      <c r="S166" s="161">
        <v>-194186</v>
      </c>
      <c r="T166" s="124">
        <v>183173</v>
      </c>
      <c r="U166" s="124">
        <v>33115</v>
      </c>
      <c r="V166" s="136"/>
      <c r="X166" s="116">
        <v>-1926</v>
      </c>
      <c r="Y166" s="116">
        <v>711</v>
      </c>
      <c r="Z166" s="161">
        <v>20887</v>
      </c>
      <c r="AA166" s="116">
        <v>28237</v>
      </c>
      <c r="AB166" s="116">
        <v>0</v>
      </c>
      <c r="AD166" s="161">
        <v>-7350</v>
      </c>
      <c r="AE166" s="117">
        <v>5</v>
      </c>
      <c r="AF166" s="117">
        <v>-13</v>
      </c>
      <c r="AG166" s="116">
        <v>-1158</v>
      </c>
      <c r="AH166" s="116">
        <v>-382</v>
      </c>
      <c r="AI166" s="160">
        <v>-8898</v>
      </c>
      <c r="AJ166" s="161">
        <v>84943</v>
      </c>
      <c r="AK166" s="161">
        <v>18191</v>
      </c>
      <c r="AL166" s="150"/>
      <c r="AM166" s="161">
        <v>943</v>
      </c>
      <c r="AN166" s="161">
        <v>-12564</v>
      </c>
      <c r="AO166" s="160">
        <v>-29014</v>
      </c>
      <c r="AQ166" s="160"/>
      <c r="AR166" s="117"/>
      <c r="AS166" s="117"/>
      <c r="AT166" s="99">
        <v>19.5</v>
      </c>
      <c r="AU166" s="130"/>
      <c r="AV166" s="262">
        <v>147</v>
      </c>
      <c r="AW166" s="267">
        <v>42993</v>
      </c>
      <c r="AX166" s="124"/>
      <c r="AY166" s="255">
        <v>1.2917805606763715</v>
      </c>
      <c r="AZ166" s="259">
        <v>91.59382602664472</v>
      </c>
      <c r="BA166" s="160">
        <v>-7939.0598469518291</v>
      </c>
      <c r="BB166" s="130"/>
      <c r="BC166" s="130"/>
      <c r="BD166" s="130"/>
      <c r="BE166" s="128">
        <v>28.170247385729294</v>
      </c>
      <c r="BF166" s="160">
        <v>1253.0179331519084</v>
      </c>
      <c r="BG166" s="129">
        <v>34.392757286930426</v>
      </c>
      <c r="BH166" s="131">
        <v>13019.212429930454</v>
      </c>
      <c r="BI166" s="124"/>
      <c r="BJ166" s="117">
        <v>246360</v>
      </c>
      <c r="BK166" s="117">
        <v>451875</v>
      </c>
      <c r="BL166" s="161">
        <v>19</v>
      </c>
      <c r="BM166" s="161">
        <v>-205496</v>
      </c>
      <c r="BN166" s="117">
        <v>189728</v>
      </c>
      <c r="BO166" s="117">
        <v>35375</v>
      </c>
      <c r="BP166" s="136"/>
      <c r="BR166" s="160">
        <v>-1371</v>
      </c>
      <c r="BS166" s="160">
        <v>656</v>
      </c>
      <c r="BT166" s="161">
        <v>18892</v>
      </c>
      <c r="BU166" s="125">
        <v>28762</v>
      </c>
      <c r="BV166" s="160">
        <v>0</v>
      </c>
      <c r="BX166" s="161">
        <v>-9870</v>
      </c>
      <c r="BY166" s="161">
        <v>29</v>
      </c>
      <c r="BZ166" s="160">
        <v>0</v>
      </c>
      <c r="CA166" s="160">
        <v>1379</v>
      </c>
      <c r="CB166" s="160">
        <v>-344</v>
      </c>
      <c r="CC166" s="160">
        <v>-11564</v>
      </c>
      <c r="CD166" s="160">
        <v>73382</v>
      </c>
      <c r="CE166" s="116">
        <v>14856</v>
      </c>
      <c r="CF166" s="150"/>
      <c r="CG166" s="160">
        <v>-12516</v>
      </c>
      <c r="CH166" s="160">
        <v>-14302</v>
      </c>
      <c r="CI166" s="159">
        <v>-54262</v>
      </c>
      <c r="CK166" s="124"/>
      <c r="CL166" s="161"/>
      <c r="CM166" s="124"/>
      <c r="CN166" s="265">
        <v>19.5</v>
      </c>
      <c r="CO166" s="130"/>
      <c r="CP166" s="116">
        <v>146</v>
      </c>
      <c r="CQ166" s="267">
        <v>43663</v>
      </c>
      <c r="CR166" s="124"/>
      <c r="CS166" s="268">
        <v>0.84073775891092728</v>
      </c>
      <c r="CT166" s="269">
        <v>86.371322219532018</v>
      </c>
      <c r="CU166" s="160">
        <v>-8049.950759224057</v>
      </c>
      <c r="CV166" s="130"/>
      <c r="CW166" s="130"/>
      <c r="CX166" s="130"/>
      <c r="CY166" s="269">
        <v>29.091064731003478</v>
      </c>
      <c r="CZ166" s="125">
        <v>1329.4551450885187</v>
      </c>
      <c r="DA166" s="125">
        <v>36.107130927954522</v>
      </c>
      <c r="DB166" s="273">
        <v>13439.204818725237</v>
      </c>
      <c r="DC166" s="124"/>
      <c r="DD166" s="117">
        <v>252262</v>
      </c>
      <c r="DE166" s="117">
        <v>462371</v>
      </c>
      <c r="DF166" s="117">
        <v>-5</v>
      </c>
      <c r="DG166" s="117">
        <v>-210114</v>
      </c>
      <c r="DH166" s="117">
        <v>200631</v>
      </c>
      <c r="DI166" s="117">
        <v>55124</v>
      </c>
      <c r="DJ166" s="136"/>
      <c r="DL166" s="160">
        <v>-1380</v>
      </c>
      <c r="DM166" s="160">
        <v>259</v>
      </c>
      <c r="DN166" s="161">
        <v>44520</v>
      </c>
      <c r="DO166" s="116">
        <v>32495</v>
      </c>
      <c r="DP166" s="160">
        <v>-178</v>
      </c>
      <c r="DR166" s="161">
        <v>11847</v>
      </c>
      <c r="DS166" s="117">
        <v>39</v>
      </c>
      <c r="DT166" s="116">
        <v>0</v>
      </c>
      <c r="DU166" s="116">
        <v>1214</v>
      </c>
      <c r="DV166" s="116">
        <v>-259</v>
      </c>
      <c r="DW166" s="160">
        <v>10413</v>
      </c>
      <c r="DX166" s="160">
        <v>84541</v>
      </c>
      <c r="DY166" s="116">
        <v>41509</v>
      </c>
      <c r="DZ166" s="150"/>
      <c r="EA166" s="116">
        <v>7395</v>
      </c>
      <c r="EB166" s="116">
        <v>-53224</v>
      </c>
      <c r="EC166" s="159">
        <v>-11128</v>
      </c>
      <c r="EE166" s="125"/>
      <c r="EF166" s="161"/>
      <c r="EG166" s="124"/>
      <c r="EH166" s="253">
        <v>19.75</v>
      </c>
      <c r="EI166" s="130"/>
      <c r="EJ166" s="125">
        <v>123</v>
      </c>
      <c r="EK166" s="116"/>
      <c r="EL166" s="159"/>
      <c r="EN166" s="116"/>
      <c r="EO166" s="116"/>
      <c r="EP166" s="159"/>
      <c r="EQ166" s="159">
        <v>-52213</v>
      </c>
      <c r="ER166" s="116">
        <v>1054</v>
      </c>
      <c r="ES166" s="116">
        <v>3954</v>
      </c>
      <c r="ET166" s="160">
        <v>-91810</v>
      </c>
      <c r="EU166" s="116">
        <v>600</v>
      </c>
      <c r="EV166" s="116">
        <v>22092</v>
      </c>
      <c r="EW166" s="160">
        <v>-68993</v>
      </c>
      <c r="EX166" s="160">
        <v>996</v>
      </c>
      <c r="EY166" s="160">
        <v>15360</v>
      </c>
      <c r="EZ166" s="116">
        <v>44971</v>
      </c>
      <c r="FA166" s="116">
        <v>0</v>
      </c>
      <c r="FB166" s="116">
        <v>55238</v>
      </c>
      <c r="FC166" s="160">
        <v>14955</v>
      </c>
      <c r="FD166" s="116">
        <v>62630</v>
      </c>
      <c r="FE166" s="116">
        <v>-2324</v>
      </c>
      <c r="FF166" s="3">
        <v>264941</v>
      </c>
      <c r="FG166" s="3">
        <v>209758</v>
      </c>
      <c r="FH166" s="3">
        <v>55183</v>
      </c>
      <c r="FI166" s="3">
        <v>5166</v>
      </c>
      <c r="FJ166" s="125">
        <v>320846</v>
      </c>
      <c r="FK166" s="160">
        <v>210978</v>
      </c>
      <c r="FL166" s="125">
        <v>109868</v>
      </c>
      <c r="FM166" s="116">
        <v>4825</v>
      </c>
      <c r="FN166" s="125">
        <v>323462</v>
      </c>
      <c r="FO166" s="116">
        <v>217541</v>
      </c>
      <c r="FP166" s="116">
        <v>105921</v>
      </c>
      <c r="FQ166" s="116">
        <v>7395</v>
      </c>
      <c r="FR166" s="153">
        <v>1880</v>
      </c>
      <c r="FS166" s="153">
        <v>1488</v>
      </c>
      <c r="FT166" s="276">
        <v>1262</v>
      </c>
      <c r="FU166" s="3">
        <v>18894</v>
      </c>
      <c r="FV166" s="159">
        <v>21231</v>
      </c>
      <c r="FW166" s="170"/>
      <c r="FZ166" s="155"/>
      <c r="GA166" s="2"/>
      <c r="GD166" s="163"/>
      <c r="GE166" s="2"/>
      <c r="GF166" s="2"/>
    </row>
    <row r="167" spans="1:188" ht="14.5" x14ac:dyDescent="0.35">
      <c r="A167" s="72">
        <v>545</v>
      </c>
      <c r="B167" s="70" t="s">
        <v>163</v>
      </c>
      <c r="C167" s="158">
        <v>9471</v>
      </c>
      <c r="D167" s="171"/>
      <c r="E167" s="128">
        <v>11.082655826558266</v>
      </c>
      <c r="F167" s="128">
        <v>81.185204709189946</v>
      </c>
      <c r="G167" s="129">
        <v>-4585.0490972442194</v>
      </c>
      <c r="H167" s="216"/>
      <c r="I167" s="172"/>
      <c r="J167" s="218"/>
      <c r="K167" s="128">
        <v>41.975219081887296</v>
      </c>
      <c r="L167" s="129">
        <v>2515.2571006229546</v>
      </c>
      <c r="M167" s="129">
        <v>86.238829655343423</v>
      </c>
      <c r="N167" s="129">
        <v>10645.65515785028</v>
      </c>
      <c r="O167" s="129"/>
      <c r="P167" s="117">
        <v>31220</v>
      </c>
      <c r="Q167" s="161">
        <v>84137</v>
      </c>
      <c r="R167" s="161">
        <v>0</v>
      </c>
      <c r="S167" s="161">
        <v>-52917</v>
      </c>
      <c r="T167" s="124">
        <v>30587</v>
      </c>
      <c r="U167" s="124">
        <v>29249</v>
      </c>
      <c r="V167" s="136"/>
      <c r="X167" s="116">
        <v>-300</v>
      </c>
      <c r="Y167" s="116">
        <v>822</v>
      </c>
      <c r="Z167" s="161">
        <v>7441</v>
      </c>
      <c r="AA167" s="116">
        <v>5644</v>
      </c>
      <c r="AB167" s="116">
        <v>0</v>
      </c>
      <c r="AD167" s="161">
        <v>1797</v>
      </c>
      <c r="AE167" s="117">
        <v>-4</v>
      </c>
      <c r="AF167" s="117">
        <v>0</v>
      </c>
      <c r="AG167" s="116">
        <v>-35</v>
      </c>
      <c r="AH167" s="116">
        <v>-37</v>
      </c>
      <c r="AI167" s="160">
        <v>1721</v>
      </c>
      <c r="AJ167" s="161">
        <v>20331</v>
      </c>
      <c r="AK167" s="161">
        <v>7160</v>
      </c>
      <c r="AL167" s="150"/>
      <c r="AM167" s="161">
        <v>749</v>
      </c>
      <c r="AN167" s="161">
        <v>0</v>
      </c>
      <c r="AO167" s="160">
        <v>-7003</v>
      </c>
      <c r="AQ167" s="160"/>
      <c r="AR167" s="117"/>
      <c r="AS167" s="117"/>
      <c r="AT167" s="99">
        <v>21</v>
      </c>
      <c r="AU167" s="130"/>
      <c r="AV167" s="262">
        <v>52</v>
      </c>
      <c r="AW167" s="267">
        <v>9479</v>
      </c>
      <c r="AX167" s="124"/>
      <c r="AY167" s="255">
        <v>13.00788643533123</v>
      </c>
      <c r="AZ167" s="259">
        <v>88.703381115285325</v>
      </c>
      <c r="BA167" s="160">
        <v>-5656.1873615360273</v>
      </c>
      <c r="BB167" s="130"/>
      <c r="BC167" s="130"/>
      <c r="BD167" s="130"/>
      <c r="BE167" s="128">
        <v>41.321532508873929</v>
      </c>
      <c r="BF167" s="160">
        <v>2306.572423251398</v>
      </c>
      <c r="BG167" s="129">
        <v>79.745311138625212</v>
      </c>
      <c r="BH167" s="131">
        <v>11502.795653549952</v>
      </c>
      <c r="BI167" s="124"/>
      <c r="BJ167" s="117">
        <v>33095</v>
      </c>
      <c r="BK167" s="117">
        <v>88304</v>
      </c>
      <c r="BL167" s="161">
        <v>0</v>
      </c>
      <c r="BM167" s="161">
        <v>-55209</v>
      </c>
      <c r="BN167" s="117">
        <v>31841</v>
      </c>
      <c r="BO167" s="117">
        <v>30358</v>
      </c>
      <c r="BP167" s="136"/>
      <c r="BR167" s="160">
        <v>-208</v>
      </c>
      <c r="BS167" s="160">
        <v>831</v>
      </c>
      <c r="BT167" s="161">
        <v>7613</v>
      </c>
      <c r="BU167" s="125">
        <v>5692</v>
      </c>
      <c r="BV167" s="160">
        <v>-3</v>
      </c>
      <c r="BX167" s="161">
        <v>1918</v>
      </c>
      <c r="BY167" s="161">
        <v>-6</v>
      </c>
      <c r="BZ167" s="160">
        <v>0</v>
      </c>
      <c r="CA167" s="160">
        <v>104</v>
      </c>
      <c r="CB167" s="160">
        <v>-36</v>
      </c>
      <c r="CC167" s="160">
        <v>1772</v>
      </c>
      <c r="CD167" s="160">
        <v>22183</v>
      </c>
      <c r="CE167" s="116">
        <v>7122</v>
      </c>
      <c r="CF167" s="150"/>
      <c r="CG167" s="161">
        <v>-2372</v>
      </c>
      <c r="CH167" s="160">
        <v>0</v>
      </c>
      <c r="CI167" s="159">
        <v>-9955</v>
      </c>
      <c r="CK167" s="124"/>
      <c r="CL167" s="161"/>
      <c r="CM167" s="124"/>
      <c r="CN167" s="265">
        <v>21</v>
      </c>
      <c r="CO167" s="130"/>
      <c r="CP167" s="116">
        <v>39</v>
      </c>
      <c r="CQ167" s="267">
        <v>9558</v>
      </c>
      <c r="CR167" s="124"/>
      <c r="CS167" s="268">
        <v>19.684126984126983</v>
      </c>
      <c r="CT167" s="269">
        <v>88.782637043476541</v>
      </c>
      <c r="CU167" s="160">
        <v>-5956.9993722536101</v>
      </c>
      <c r="CV167" s="130"/>
      <c r="CW167" s="130"/>
      <c r="CX167" s="130"/>
      <c r="CY167" s="269">
        <v>42.092353433057696</v>
      </c>
      <c r="CZ167" s="125">
        <v>2442.0380832810215</v>
      </c>
      <c r="DA167" s="125">
        <v>79.431127396136347</v>
      </c>
      <c r="DB167" s="273">
        <v>11221.594475831766</v>
      </c>
      <c r="DC167" s="124"/>
      <c r="DD167" s="117">
        <v>33415</v>
      </c>
      <c r="DE167" s="117">
        <v>89484</v>
      </c>
      <c r="DF167" s="117">
        <v>0</v>
      </c>
      <c r="DG167" s="117">
        <v>-56069</v>
      </c>
      <c r="DH167" s="117">
        <v>32967</v>
      </c>
      <c r="DI167" s="117">
        <v>34845</v>
      </c>
      <c r="DJ167" s="136"/>
      <c r="DL167" s="160">
        <v>-235</v>
      </c>
      <c r="DM167" s="160">
        <v>263</v>
      </c>
      <c r="DN167" s="161">
        <v>11771</v>
      </c>
      <c r="DO167" s="116">
        <v>6674</v>
      </c>
      <c r="DP167" s="160">
        <v>160</v>
      </c>
      <c r="DR167" s="161">
        <v>5257</v>
      </c>
      <c r="DS167" s="117">
        <v>-8</v>
      </c>
      <c r="DT167" s="116">
        <v>0</v>
      </c>
      <c r="DU167" s="116">
        <v>64</v>
      </c>
      <c r="DV167" s="116">
        <v>-26</v>
      </c>
      <c r="DW167" s="160">
        <v>5159</v>
      </c>
      <c r="DX167" s="160">
        <v>27312</v>
      </c>
      <c r="DY167" s="116">
        <v>11539</v>
      </c>
      <c r="DZ167" s="150"/>
      <c r="EA167" s="117">
        <v>-544</v>
      </c>
      <c r="EB167" s="116">
        <v>0</v>
      </c>
      <c r="EC167" s="159">
        <v>-3372</v>
      </c>
      <c r="EE167" s="125"/>
      <c r="EF167" s="161"/>
      <c r="EG167" s="124"/>
      <c r="EH167" s="253">
        <v>21</v>
      </c>
      <c r="EI167" s="130"/>
      <c r="EJ167" s="125">
        <v>65</v>
      </c>
      <c r="EK167" s="116"/>
      <c r="EL167" s="159"/>
      <c r="EN167" s="116"/>
      <c r="EO167" s="116"/>
      <c r="EP167" s="159"/>
      <c r="EQ167" s="159">
        <v>-15453</v>
      </c>
      <c r="ER167" s="116">
        <v>944</v>
      </c>
      <c r="ES167" s="116">
        <v>346</v>
      </c>
      <c r="ET167" s="160">
        <v>-19690</v>
      </c>
      <c r="EU167" s="116">
        <v>2361</v>
      </c>
      <c r="EV167" s="116">
        <v>252</v>
      </c>
      <c r="EW167" s="160">
        <v>-16664</v>
      </c>
      <c r="EX167" s="160">
        <v>1672</v>
      </c>
      <c r="EY167" s="160">
        <v>81</v>
      </c>
      <c r="EZ167" s="116">
        <v>8114</v>
      </c>
      <c r="FA167" s="116">
        <v>-3562</v>
      </c>
      <c r="FB167" s="116">
        <v>4625</v>
      </c>
      <c r="FC167" s="160">
        <v>5113</v>
      </c>
      <c r="FD167" s="116">
        <v>46</v>
      </c>
      <c r="FE167" s="116">
        <v>4084</v>
      </c>
      <c r="FF167" s="3">
        <v>48811</v>
      </c>
      <c r="FG167" s="3">
        <v>37460</v>
      </c>
      <c r="FH167" s="3">
        <v>11351</v>
      </c>
      <c r="FI167" s="3">
        <v>0</v>
      </c>
      <c r="FJ167" s="125">
        <v>58549</v>
      </c>
      <c r="FK167" s="160">
        <v>42085</v>
      </c>
      <c r="FL167" s="125">
        <v>16464</v>
      </c>
      <c r="FM167" s="116">
        <v>0</v>
      </c>
      <c r="FN167" s="125">
        <v>62660</v>
      </c>
      <c r="FO167" s="116">
        <v>42132</v>
      </c>
      <c r="FP167" s="116">
        <v>20528</v>
      </c>
      <c r="FQ167" s="116">
        <v>-544</v>
      </c>
      <c r="FR167" s="153">
        <v>127</v>
      </c>
      <c r="FS167" s="153">
        <v>114</v>
      </c>
      <c r="FT167" s="276">
        <v>101</v>
      </c>
      <c r="FU167" s="3">
        <v>1032</v>
      </c>
      <c r="FV167" s="159">
        <v>1407</v>
      </c>
      <c r="FW167" s="170"/>
      <c r="FZ167" s="155"/>
      <c r="GA167" s="2"/>
      <c r="GD167" s="163"/>
      <c r="GE167" s="2"/>
      <c r="GF167" s="2"/>
    </row>
    <row r="168" spans="1:188" ht="14.5" x14ac:dyDescent="0.35">
      <c r="A168" s="72">
        <v>560</v>
      </c>
      <c r="B168" s="70" t="s">
        <v>164</v>
      </c>
      <c r="C168" s="158">
        <v>16091</v>
      </c>
      <c r="D168" s="171"/>
      <c r="E168" s="128">
        <v>0.99736305885173204</v>
      </c>
      <c r="F168" s="128">
        <v>52.951656195616906</v>
      </c>
      <c r="G168" s="129">
        <v>-4234.4167547076004</v>
      </c>
      <c r="H168" s="216"/>
      <c r="I168" s="172"/>
      <c r="J168" s="218"/>
      <c r="K168" s="128">
        <v>40.119538205039476</v>
      </c>
      <c r="L168" s="129">
        <v>842.45851718351867</v>
      </c>
      <c r="M168" s="129">
        <v>26.324850896747662</v>
      </c>
      <c r="N168" s="129">
        <v>11680.877509166616</v>
      </c>
      <c r="O168" s="129"/>
      <c r="P168" s="117">
        <v>82597</v>
      </c>
      <c r="Q168" s="161">
        <v>162794</v>
      </c>
      <c r="R168" s="161">
        <v>0</v>
      </c>
      <c r="S168" s="161">
        <v>-80197</v>
      </c>
      <c r="T168" s="124">
        <v>55043</v>
      </c>
      <c r="U168" s="124">
        <v>31875</v>
      </c>
      <c r="V168" s="136"/>
      <c r="X168" s="116">
        <v>-626</v>
      </c>
      <c r="Y168" s="116">
        <v>1586</v>
      </c>
      <c r="Z168" s="161">
        <v>7681</v>
      </c>
      <c r="AA168" s="116">
        <v>8414</v>
      </c>
      <c r="AB168" s="116">
        <v>482</v>
      </c>
      <c r="AD168" s="161">
        <v>-251</v>
      </c>
      <c r="AE168" s="117">
        <v>-131</v>
      </c>
      <c r="AF168" s="117">
        <v>0</v>
      </c>
      <c r="AG168" s="116">
        <v>-103</v>
      </c>
      <c r="AH168" s="116">
        <v>-135</v>
      </c>
      <c r="AI168" s="160">
        <v>-620</v>
      </c>
      <c r="AJ168" s="161">
        <v>16296</v>
      </c>
      <c r="AK168" s="161">
        <v>7744</v>
      </c>
      <c r="AL168" s="150"/>
      <c r="AM168" s="161">
        <v>466</v>
      </c>
      <c r="AN168" s="161">
        <v>-7703</v>
      </c>
      <c r="AO168" s="160">
        <v>-7492</v>
      </c>
      <c r="AQ168" s="160"/>
      <c r="AR168" s="117"/>
      <c r="AS168" s="117"/>
      <c r="AT168" s="99">
        <v>20.75</v>
      </c>
      <c r="AU168" s="130"/>
      <c r="AV168" s="262">
        <v>153</v>
      </c>
      <c r="AW168" s="267">
        <v>16003</v>
      </c>
      <c r="AX168" s="124"/>
      <c r="AY168" s="255">
        <v>1.1981981981981982</v>
      </c>
      <c r="AZ168" s="259">
        <v>52.915696479934255</v>
      </c>
      <c r="BA168" s="160">
        <v>-4513.5287133662432</v>
      </c>
      <c r="BB168" s="130"/>
      <c r="BC168" s="130"/>
      <c r="BD168" s="130"/>
      <c r="BE168" s="128">
        <v>38.495929788857794</v>
      </c>
      <c r="BF168" s="160">
        <v>741.29850653002563</v>
      </c>
      <c r="BG168" s="129">
        <v>26.161581980648233</v>
      </c>
      <c r="BH168" s="131">
        <v>11818.409048303443</v>
      </c>
      <c r="BI168" s="124"/>
      <c r="BJ168" s="117">
        <v>83233</v>
      </c>
      <c r="BK168" s="117">
        <v>167837</v>
      </c>
      <c r="BL168" s="161">
        <v>27</v>
      </c>
      <c r="BM168" s="161">
        <v>-84577</v>
      </c>
      <c r="BN168" s="117">
        <v>55655</v>
      </c>
      <c r="BO168" s="117">
        <v>36336</v>
      </c>
      <c r="BP168" s="136"/>
      <c r="BR168" s="160">
        <v>-579</v>
      </c>
      <c r="BS168" s="160">
        <v>2015</v>
      </c>
      <c r="BT168" s="161">
        <v>8850</v>
      </c>
      <c r="BU168" s="125">
        <v>9173</v>
      </c>
      <c r="BV168" s="160">
        <v>-149</v>
      </c>
      <c r="BX168" s="161">
        <v>-472</v>
      </c>
      <c r="BY168" s="161">
        <v>-876</v>
      </c>
      <c r="BZ168" s="160">
        <v>0</v>
      </c>
      <c r="CA168" s="160">
        <v>634</v>
      </c>
      <c r="CB168" s="160">
        <v>1</v>
      </c>
      <c r="CC168" s="160">
        <v>-1981</v>
      </c>
      <c r="CD168" s="160">
        <v>14303</v>
      </c>
      <c r="CE168" s="116">
        <v>4949</v>
      </c>
      <c r="CF168" s="150"/>
      <c r="CG168" s="161">
        <v>-559</v>
      </c>
      <c r="CH168" s="160">
        <v>-7288</v>
      </c>
      <c r="CI168" s="159">
        <v>-4281</v>
      </c>
      <c r="CK168" s="124"/>
      <c r="CL168" s="161"/>
      <c r="CM168" s="124"/>
      <c r="CN168" s="265">
        <v>20.75</v>
      </c>
      <c r="CO168" s="130"/>
      <c r="CP168" s="116">
        <v>102</v>
      </c>
      <c r="CQ168" s="267">
        <v>15882</v>
      </c>
      <c r="CR168" s="124"/>
      <c r="CS168" s="268">
        <v>2.0689077640866134</v>
      </c>
      <c r="CT168" s="269">
        <v>56.36216494056147</v>
      </c>
      <c r="CU168" s="160">
        <v>-4778.9950887797504</v>
      </c>
      <c r="CV168" s="130"/>
      <c r="CW168" s="130"/>
      <c r="CX168" s="130"/>
      <c r="CY168" s="269">
        <v>38.060386375836217</v>
      </c>
      <c r="CZ168" s="125">
        <v>1365.8229442135753</v>
      </c>
      <c r="DA168" s="125">
        <v>40.425103901806409</v>
      </c>
      <c r="DB168" s="273">
        <v>12332.074046089912</v>
      </c>
      <c r="DC168" s="124"/>
      <c r="DD168" s="117">
        <v>79695</v>
      </c>
      <c r="DE168" s="117">
        <v>167752</v>
      </c>
      <c r="DF168" s="117">
        <v>-8</v>
      </c>
      <c r="DG168" s="117">
        <v>-88065</v>
      </c>
      <c r="DH168" s="117">
        <v>59720</v>
      </c>
      <c r="DI168" s="117">
        <v>43463</v>
      </c>
      <c r="DJ168" s="136"/>
      <c r="DL168" s="160">
        <v>-523</v>
      </c>
      <c r="DM168" s="160">
        <v>2166</v>
      </c>
      <c r="DN168" s="161">
        <v>16761</v>
      </c>
      <c r="DO168" s="116">
        <v>10317</v>
      </c>
      <c r="DP168" s="160">
        <v>0</v>
      </c>
      <c r="DR168" s="161">
        <v>6444</v>
      </c>
      <c r="DS168" s="117">
        <v>102</v>
      </c>
      <c r="DT168" s="116">
        <v>0</v>
      </c>
      <c r="DU168" s="116">
        <v>153</v>
      </c>
      <c r="DV168" s="116">
        <v>-21</v>
      </c>
      <c r="DW168" s="160">
        <v>6372</v>
      </c>
      <c r="DX168" s="160">
        <v>21385</v>
      </c>
      <c r="DY168" s="116">
        <v>16291</v>
      </c>
      <c r="DZ168" s="150"/>
      <c r="EA168" s="117">
        <v>3156</v>
      </c>
      <c r="EB168" s="116">
        <v>-7826</v>
      </c>
      <c r="EC168" s="159">
        <v>-2626</v>
      </c>
      <c r="EE168" s="125"/>
      <c r="EF168" s="161"/>
      <c r="EG168" s="124"/>
      <c r="EH168" s="253">
        <v>20.75</v>
      </c>
      <c r="EI168" s="130"/>
      <c r="EJ168" s="125">
        <v>113</v>
      </c>
      <c r="EK168" s="116"/>
      <c r="EL168" s="159"/>
      <c r="EN168" s="116"/>
      <c r="EO168" s="116"/>
      <c r="EP168" s="159"/>
      <c r="EQ168" s="159">
        <v>-16614</v>
      </c>
      <c r="ER168" s="116">
        <v>808</v>
      </c>
      <c r="ES168" s="116">
        <v>570</v>
      </c>
      <c r="ET168" s="160">
        <v>-13387</v>
      </c>
      <c r="EU168" s="116">
        <v>45</v>
      </c>
      <c r="EV168" s="116">
        <v>4112</v>
      </c>
      <c r="EW168" s="160">
        <v>-19665</v>
      </c>
      <c r="EX168" s="160">
        <v>101</v>
      </c>
      <c r="EY168" s="160">
        <v>647</v>
      </c>
      <c r="EZ168" s="116">
        <v>13566</v>
      </c>
      <c r="FA168" s="116">
        <v>-2501</v>
      </c>
      <c r="FB168" s="116">
        <v>14021</v>
      </c>
      <c r="FC168" s="160">
        <v>-4493</v>
      </c>
      <c r="FD168" s="116">
        <v>16000</v>
      </c>
      <c r="FE168" s="116">
        <v>1606</v>
      </c>
      <c r="FF168" s="3">
        <v>62310</v>
      </c>
      <c r="FG168" s="3">
        <v>50060</v>
      </c>
      <c r="FH168" s="3">
        <v>12250</v>
      </c>
      <c r="FI168" s="3">
        <v>1304</v>
      </c>
      <c r="FJ168" s="125">
        <v>64550</v>
      </c>
      <c r="FK168" s="160">
        <v>56096</v>
      </c>
      <c r="FL168" s="125">
        <v>8454</v>
      </c>
      <c r="FM168" s="116">
        <v>1287</v>
      </c>
      <c r="FN168" s="125">
        <v>74284</v>
      </c>
      <c r="FO168" s="116">
        <v>62633</v>
      </c>
      <c r="FP168" s="116">
        <v>11651</v>
      </c>
      <c r="FQ168" s="116">
        <v>3156</v>
      </c>
      <c r="FR168" s="153">
        <v>1568</v>
      </c>
      <c r="FS168" s="153">
        <v>830</v>
      </c>
      <c r="FT168" s="276">
        <v>396</v>
      </c>
      <c r="FU168" s="3">
        <v>32222</v>
      </c>
      <c r="FV168" s="159">
        <v>26869</v>
      </c>
      <c r="FW168" s="170"/>
      <c r="FZ168" s="155"/>
      <c r="GA168" s="2"/>
      <c r="GD168" s="163"/>
      <c r="GE168" s="2"/>
      <c r="GF168" s="2"/>
    </row>
    <row r="169" spans="1:188" ht="14.5" x14ac:dyDescent="0.35">
      <c r="A169" s="72">
        <v>561</v>
      </c>
      <c r="B169" s="70" t="s">
        <v>165</v>
      </c>
      <c r="C169" s="158">
        <v>1364</v>
      </c>
      <c r="D169" s="171"/>
      <c r="E169" s="128">
        <v>-1.7372448979591837</v>
      </c>
      <c r="F169" s="128">
        <v>57.160077145612341</v>
      </c>
      <c r="G169" s="129">
        <v>-4543.9882697947214</v>
      </c>
      <c r="H169" s="216"/>
      <c r="I169" s="172"/>
      <c r="J169" s="218"/>
      <c r="K169" s="128">
        <v>31.761299962644753</v>
      </c>
      <c r="L169" s="129">
        <v>159.09090909090909</v>
      </c>
      <c r="M169" s="129">
        <v>5.7759060745278203</v>
      </c>
      <c r="N169" s="129">
        <v>10053.519061583576</v>
      </c>
      <c r="O169" s="129"/>
      <c r="P169" s="117">
        <v>4318</v>
      </c>
      <c r="Q169" s="161">
        <v>13069</v>
      </c>
      <c r="R169" s="161">
        <v>0</v>
      </c>
      <c r="S169" s="161">
        <v>-8751</v>
      </c>
      <c r="T169" s="124">
        <v>3987</v>
      </c>
      <c r="U169" s="124">
        <v>4139</v>
      </c>
      <c r="V169" s="136"/>
      <c r="X169" s="116">
        <v>0</v>
      </c>
      <c r="Y169" s="116">
        <v>-57</v>
      </c>
      <c r="Z169" s="161">
        <v>-682</v>
      </c>
      <c r="AA169" s="116">
        <v>643</v>
      </c>
      <c r="AB169" s="116">
        <v>-3</v>
      </c>
      <c r="AD169" s="161">
        <v>-1328</v>
      </c>
      <c r="AE169" s="116">
        <v>0</v>
      </c>
      <c r="AF169" s="116">
        <v>14</v>
      </c>
      <c r="AG169" s="116">
        <v>0</v>
      </c>
      <c r="AH169" s="116">
        <v>0</v>
      </c>
      <c r="AI169" s="160">
        <v>-1314</v>
      </c>
      <c r="AJ169" s="161">
        <v>-123</v>
      </c>
      <c r="AK169" s="161">
        <v>-677</v>
      </c>
      <c r="AL169" s="150"/>
      <c r="AM169" s="161">
        <v>-29</v>
      </c>
      <c r="AN169" s="161">
        <v>-391</v>
      </c>
      <c r="AO169" s="160">
        <v>-899</v>
      </c>
      <c r="AQ169" s="160"/>
      <c r="AR169" s="117"/>
      <c r="AS169" s="117"/>
      <c r="AT169" s="99">
        <v>19.5</v>
      </c>
      <c r="AU169" s="130"/>
      <c r="AV169" s="262">
        <v>295</v>
      </c>
      <c r="AW169" s="267">
        <v>1329</v>
      </c>
      <c r="AX169" s="124"/>
      <c r="AY169" s="255">
        <v>1.7115384615384615</v>
      </c>
      <c r="AZ169" s="259">
        <v>50.705995416574261</v>
      </c>
      <c r="BA169" s="160">
        <v>-4403.3107599699024</v>
      </c>
      <c r="BB169" s="130"/>
      <c r="BC169" s="130"/>
      <c r="BD169" s="130"/>
      <c r="BE169" s="128">
        <v>32.632383865417701</v>
      </c>
      <c r="BF169" s="160">
        <v>176.82468021068473</v>
      </c>
      <c r="BG169" s="129">
        <v>5.8453874538745385</v>
      </c>
      <c r="BH169" s="131">
        <v>10195.63581640331</v>
      </c>
      <c r="BI169" s="124"/>
      <c r="BJ169" s="117">
        <v>4372</v>
      </c>
      <c r="BK169" s="117">
        <v>12854</v>
      </c>
      <c r="BL169" s="161">
        <v>0</v>
      </c>
      <c r="BM169" s="161">
        <v>-8482</v>
      </c>
      <c r="BN169" s="117">
        <v>4684</v>
      </c>
      <c r="BO169" s="117">
        <v>4471</v>
      </c>
      <c r="BP169" s="136"/>
      <c r="BR169" s="160">
        <v>-1</v>
      </c>
      <c r="BS169" s="160">
        <v>-51</v>
      </c>
      <c r="BT169" s="161">
        <v>621</v>
      </c>
      <c r="BU169" s="125">
        <v>606</v>
      </c>
      <c r="BV169" s="160">
        <v>0</v>
      </c>
      <c r="BX169" s="161">
        <v>15</v>
      </c>
      <c r="BY169" s="160">
        <v>0</v>
      </c>
      <c r="BZ169" s="160">
        <v>15</v>
      </c>
      <c r="CA169" s="160">
        <v>0</v>
      </c>
      <c r="CB169" s="160">
        <v>0</v>
      </c>
      <c r="CC169" s="160">
        <v>30</v>
      </c>
      <c r="CD169" s="160">
        <v>-111</v>
      </c>
      <c r="CE169" s="116">
        <v>618</v>
      </c>
      <c r="CF169" s="150"/>
      <c r="CG169" s="161">
        <v>-34</v>
      </c>
      <c r="CH169" s="160">
        <v>-362</v>
      </c>
      <c r="CI169" s="159">
        <v>333</v>
      </c>
      <c r="CK169" s="124"/>
      <c r="CL169" s="161"/>
      <c r="CM169" s="124"/>
      <c r="CN169" s="265">
        <v>21</v>
      </c>
      <c r="CO169" s="130"/>
      <c r="CP169" s="116">
        <v>133</v>
      </c>
      <c r="CQ169" s="267">
        <v>1334</v>
      </c>
      <c r="CR169" s="124"/>
      <c r="CS169" s="268">
        <v>2.9650924024640659</v>
      </c>
      <c r="CT169" s="269">
        <v>44.428822495606326</v>
      </c>
      <c r="CU169" s="160">
        <v>-3758.6206896551726</v>
      </c>
      <c r="CV169" s="130"/>
      <c r="CW169" s="130"/>
      <c r="CX169" s="130"/>
      <c r="CY169" s="269">
        <v>39.236499068901303</v>
      </c>
      <c r="CZ169" s="125">
        <v>294.60269865067465</v>
      </c>
      <c r="DA169" s="125">
        <v>10.352554849884527</v>
      </c>
      <c r="DB169" s="273">
        <v>10386.80659670165</v>
      </c>
      <c r="DC169" s="124"/>
      <c r="DD169" s="117">
        <v>4447</v>
      </c>
      <c r="DE169" s="117">
        <v>12785</v>
      </c>
      <c r="DF169" s="117">
        <v>0</v>
      </c>
      <c r="DG169" s="117">
        <v>-8338</v>
      </c>
      <c r="DH169" s="117">
        <v>4849</v>
      </c>
      <c r="DI169" s="117">
        <v>4929</v>
      </c>
      <c r="DJ169" s="136"/>
      <c r="DL169" s="160">
        <v>-53</v>
      </c>
      <c r="DM169" s="160">
        <v>0</v>
      </c>
      <c r="DN169" s="161">
        <v>1387</v>
      </c>
      <c r="DO169" s="116">
        <v>587</v>
      </c>
      <c r="DP169" s="160">
        <v>0</v>
      </c>
      <c r="DR169" s="161">
        <v>800</v>
      </c>
      <c r="DS169" s="116">
        <v>0</v>
      </c>
      <c r="DT169" s="116">
        <v>15</v>
      </c>
      <c r="DU169" s="116">
        <v>0</v>
      </c>
      <c r="DV169" s="116">
        <v>0</v>
      </c>
      <c r="DW169" s="160">
        <v>815</v>
      </c>
      <c r="DX169" s="160">
        <v>690</v>
      </c>
      <c r="DY169" s="116">
        <v>1077</v>
      </c>
      <c r="DZ169" s="150"/>
      <c r="EA169" s="117">
        <v>-144</v>
      </c>
      <c r="EB169" s="116">
        <v>-430</v>
      </c>
      <c r="EC169" s="159">
        <v>529</v>
      </c>
      <c r="EE169" s="125"/>
      <c r="EF169" s="161"/>
      <c r="EG169" s="124"/>
      <c r="EH169" s="253">
        <v>21</v>
      </c>
      <c r="EI169" s="130"/>
      <c r="EJ169" s="125">
        <v>118</v>
      </c>
      <c r="EK169" s="116"/>
      <c r="EL169" s="159"/>
      <c r="EN169" s="116"/>
      <c r="EO169" s="116"/>
      <c r="EP169" s="159"/>
      <c r="EQ169" s="159">
        <v>-251</v>
      </c>
      <c r="ER169" s="116">
        <v>7</v>
      </c>
      <c r="ES169" s="116">
        <v>22</v>
      </c>
      <c r="ET169" s="160">
        <v>-333</v>
      </c>
      <c r="EU169" s="116">
        <v>3</v>
      </c>
      <c r="EV169" s="116">
        <v>45</v>
      </c>
      <c r="EW169" s="160">
        <v>-582</v>
      </c>
      <c r="EX169" s="160">
        <v>4</v>
      </c>
      <c r="EY169" s="160">
        <v>30</v>
      </c>
      <c r="EZ169" s="116">
        <v>589</v>
      </c>
      <c r="FA169" s="116">
        <v>485</v>
      </c>
      <c r="FB169" s="116">
        <v>4</v>
      </c>
      <c r="FC169" s="160">
        <v>218</v>
      </c>
      <c r="FD169" s="116">
        <v>293</v>
      </c>
      <c r="FE169" s="116">
        <v>-464</v>
      </c>
      <c r="FF169" s="3">
        <v>5105</v>
      </c>
      <c r="FG169" s="3">
        <v>2942</v>
      </c>
      <c r="FH169" s="3">
        <v>2163</v>
      </c>
      <c r="FI169" s="3">
        <v>1</v>
      </c>
      <c r="FJ169" s="125">
        <v>5012</v>
      </c>
      <c r="FK169" s="160">
        <v>2592</v>
      </c>
      <c r="FL169" s="125">
        <v>2420</v>
      </c>
      <c r="FM169" s="116">
        <v>0</v>
      </c>
      <c r="FN169" s="125">
        <v>4190</v>
      </c>
      <c r="FO169" s="116">
        <v>2170</v>
      </c>
      <c r="FP169" s="116">
        <v>2020</v>
      </c>
      <c r="FQ169" s="116">
        <v>-144</v>
      </c>
      <c r="FR169" s="153">
        <v>0</v>
      </c>
      <c r="FS169" s="153">
        <v>0</v>
      </c>
      <c r="FT169" s="276">
        <v>0</v>
      </c>
      <c r="FU169" s="3">
        <v>482</v>
      </c>
      <c r="FV169" s="159">
        <v>448</v>
      </c>
      <c r="FW169" s="170"/>
      <c r="FZ169" s="155"/>
      <c r="GA169" s="2"/>
      <c r="GD169" s="163"/>
      <c r="GE169" s="2"/>
      <c r="GF169" s="2"/>
    </row>
    <row r="170" spans="1:188" ht="14.5" x14ac:dyDescent="0.35">
      <c r="A170" s="72">
        <v>562</v>
      </c>
      <c r="B170" s="70" t="s">
        <v>166</v>
      </c>
      <c r="C170" s="158">
        <v>9221</v>
      </c>
      <c r="D170" s="171"/>
      <c r="E170" s="128">
        <v>0.60498430141287285</v>
      </c>
      <c r="F170" s="128">
        <v>52.572070039000565</v>
      </c>
      <c r="G170" s="129">
        <v>-3773.1265589415461</v>
      </c>
      <c r="H170" s="216"/>
      <c r="I170" s="172"/>
      <c r="J170" s="218"/>
      <c r="K170" s="128">
        <v>35.739022965870355</v>
      </c>
      <c r="L170" s="129">
        <v>596.78993601561649</v>
      </c>
      <c r="M170" s="129">
        <v>21.044307776124718</v>
      </c>
      <c r="N170" s="129">
        <v>10350.938076130571</v>
      </c>
      <c r="O170" s="129"/>
      <c r="P170" s="117">
        <v>31069</v>
      </c>
      <c r="Q170" s="161">
        <v>83556</v>
      </c>
      <c r="R170" s="161">
        <v>148</v>
      </c>
      <c r="S170" s="161">
        <v>-52339</v>
      </c>
      <c r="T170" s="124">
        <v>32899</v>
      </c>
      <c r="U170" s="124">
        <v>22441</v>
      </c>
      <c r="V170" s="136"/>
      <c r="X170" s="116">
        <v>-330</v>
      </c>
      <c r="Y170" s="116">
        <v>23</v>
      </c>
      <c r="Z170" s="161">
        <v>2694</v>
      </c>
      <c r="AA170" s="116">
        <v>4258</v>
      </c>
      <c r="AB170" s="116">
        <v>0</v>
      </c>
      <c r="AD170" s="161">
        <v>-1564</v>
      </c>
      <c r="AE170" s="117">
        <v>-65</v>
      </c>
      <c r="AF170" s="117">
        <v>0</v>
      </c>
      <c r="AG170" s="116">
        <v>-51</v>
      </c>
      <c r="AH170" s="116">
        <v>-35</v>
      </c>
      <c r="AI170" s="160">
        <v>-1715</v>
      </c>
      <c r="AJ170" s="161">
        <v>6030</v>
      </c>
      <c r="AK170" s="161">
        <v>2727</v>
      </c>
      <c r="AL170" s="150"/>
      <c r="AM170" s="161">
        <v>-769</v>
      </c>
      <c r="AN170" s="161">
        <v>-4707</v>
      </c>
      <c r="AO170" s="160">
        <v>-3865</v>
      </c>
      <c r="AQ170" s="160"/>
      <c r="AR170" s="117"/>
      <c r="AS170" s="117"/>
      <c r="AT170" s="99">
        <v>22</v>
      </c>
      <c r="AU170" s="130"/>
      <c r="AV170" s="262">
        <v>221</v>
      </c>
      <c r="AW170" s="267">
        <v>9158</v>
      </c>
      <c r="AX170" s="124"/>
      <c r="AY170" s="255">
        <v>0.56320954396767364</v>
      </c>
      <c r="AZ170" s="259">
        <v>55.655521137026241</v>
      </c>
      <c r="BA170" s="160">
        <v>-4227.4514086044992</v>
      </c>
      <c r="BB170" s="130"/>
      <c r="BC170" s="130"/>
      <c r="BD170" s="130"/>
      <c r="BE170" s="128">
        <v>33.103115965306777</v>
      </c>
      <c r="BF170" s="160">
        <v>690.98056344179952</v>
      </c>
      <c r="BG170" s="129">
        <v>20.795492193647242</v>
      </c>
      <c r="BH170" s="131">
        <v>10546.844289146102</v>
      </c>
      <c r="BI170" s="124"/>
      <c r="BJ170" s="117">
        <v>31958</v>
      </c>
      <c r="BK170" s="117">
        <v>85284</v>
      </c>
      <c r="BL170" s="161">
        <v>184</v>
      </c>
      <c r="BM170" s="161">
        <v>-53142</v>
      </c>
      <c r="BN170" s="117">
        <v>33642</v>
      </c>
      <c r="BO170" s="117">
        <v>22208</v>
      </c>
      <c r="BP170" s="136"/>
      <c r="BR170" s="160">
        <v>-304</v>
      </c>
      <c r="BS170" s="160">
        <v>165</v>
      </c>
      <c r="BT170" s="161">
        <v>2569</v>
      </c>
      <c r="BU170" s="125">
        <v>4570</v>
      </c>
      <c r="BV170" s="160">
        <v>0</v>
      </c>
      <c r="BX170" s="161">
        <v>-2001</v>
      </c>
      <c r="BY170" s="161">
        <v>-65</v>
      </c>
      <c r="BZ170" s="160">
        <v>0</v>
      </c>
      <c r="CA170" s="160">
        <v>39</v>
      </c>
      <c r="CB170" s="160">
        <v>-35</v>
      </c>
      <c r="CC170" s="160">
        <v>-2140</v>
      </c>
      <c r="CD170" s="160">
        <v>3890</v>
      </c>
      <c r="CE170" s="116">
        <v>2027</v>
      </c>
      <c r="CF170" s="150"/>
      <c r="CG170" s="161">
        <v>1641</v>
      </c>
      <c r="CH170" s="160">
        <v>-4839</v>
      </c>
      <c r="CI170" s="159">
        <v>-3809</v>
      </c>
      <c r="CK170" s="124"/>
      <c r="CL170" s="161"/>
      <c r="CM170" s="124"/>
      <c r="CN170" s="265">
        <v>22</v>
      </c>
      <c r="CO170" s="130"/>
      <c r="CP170" s="116">
        <v>215</v>
      </c>
      <c r="CQ170" s="267">
        <v>9008</v>
      </c>
      <c r="CR170" s="124"/>
      <c r="CS170" s="268">
        <v>1.3342582315945246</v>
      </c>
      <c r="CT170" s="269">
        <v>52.999182612705134</v>
      </c>
      <c r="CU170" s="160">
        <v>-4027.4200710479572</v>
      </c>
      <c r="CV170" s="130"/>
      <c r="CW170" s="130"/>
      <c r="CX170" s="130"/>
      <c r="CY170" s="269">
        <v>34.226444407655968</v>
      </c>
      <c r="CZ170" s="125">
        <v>1046.7362344582593</v>
      </c>
      <c r="DA170" s="125">
        <v>35.018518706946551</v>
      </c>
      <c r="DB170" s="273">
        <v>10910.190941385436</v>
      </c>
      <c r="DC170" s="124"/>
      <c r="DD170" s="117">
        <v>32849</v>
      </c>
      <c r="DE170" s="117">
        <v>88647</v>
      </c>
      <c r="DF170" s="117">
        <v>229</v>
      </c>
      <c r="DG170" s="117">
        <v>-55569</v>
      </c>
      <c r="DH170" s="117">
        <v>35273</v>
      </c>
      <c r="DI170" s="117">
        <v>27304</v>
      </c>
      <c r="DJ170" s="136"/>
      <c r="DL170" s="160">
        <v>-292</v>
      </c>
      <c r="DM170" s="160">
        <v>164</v>
      </c>
      <c r="DN170" s="161">
        <v>6880</v>
      </c>
      <c r="DO170" s="116">
        <v>4557</v>
      </c>
      <c r="DP170" s="160">
        <v>0</v>
      </c>
      <c r="DR170" s="161">
        <v>2323</v>
      </c>
      <c r="DS170" s="117">
        <v>-236</v>
      </c>
      <c r="DT170" s="116">
        <v>0</v>
      </c>
      <c r="DU170" s="116">
        <v>125</v>
      </c>
      <c r="DV170" s="116">
        <v>-24</v>
      </c>
      <c r="DW170" s="160">
        <v>1938</v>
      </c>
      <c r="DX170" s="160">
        <v>5800</v>
      </c>
      <c r="DY170" s="116">
        <v>6626</v>
      </c>
      <c r="DZ170" s="150"/>
      <c r="EA170" s="117">
        <v>-966</v>
      </c>
      <c r="EB170" s="116">
        <v>-5073</v>
      </c>
      <c r="EC170" s="159">
        <v>2538</v>
      </c>
      <c r="EE170" s="125"/>
      <c r="EF170" s="161"/>
      <c r="EG170" s="124"/>
      <c r="EH170" s="253">
        <v>22</v>
      </c>
      <c r="EI170" s="130"/>
      <c r="EJ170" s="125">
        <v>236</v>
      </c>
      <c r="EK170" s="116"/>
      <c r="EL170" s="159"/>
      <c r="EN170" s="116"/>
      <c r="EO170" s="116"/>
      <c r="EP170" s="159"/>
      <c r="EQ170" s="159">
        <v>-6662</v>
      </c>
      <c r="ER170" s="116">
        <v>7</v>
      </c>
      <c r="ES170" s="116">
        <v>63</v>
      </c>
      <c r="ET170" s="160">
        <v>-5989</v>
      </c>
      <c r="EU170" s="116">
        <v>0</v>
      </c>
      <c r="EV170" s="116">
        <v>153</v>
      </c>
      <c r="EW170" s="160">
        <v>-4118</v>
      </c>
      <c r="EX170" s="160">
        <v>0</v>
      </c>
      <c r="EY170" s="160">
        <v>30</v>
      </c>
      <c r="EZ170" s="116">
        <v>2984</v>
      </c>
      <c r="FA170" s="116">
        <v>-54</v>
      </c>
      <c r="FB170" s="116">
        <v>8516</v>
      </c>
      <c r="FC170" s="160">
        <v>1808</v>
      </c>
      <c r="FD170" s="116">
        <v>6360</v>
      </c>
      <c r="FE170" s="116">
        <v>-2230</v>
      </c>
      <c r="FF170" s="3">
        <v>31760</v>
      </c>
      <c r="FG170" s="3">
        <v>27427</v>
      </c>
      <c r="FH170" s="3">
        <v>4333</v>
      </c>
      <c r="FI170" s="3">
        <v>26</v>
      </c>
      <c r="FJ170" s="125">
        <v>37455</v>
      </c>
      <c r="FK170" s="160">
        <v>30633</v>
      </c>
      <c r="FL170" s="125">
        <v>6822</v>
      </c>
      <c r="FM170" s="116">
        <v>24</v>
      </c>
      <c r="FN170" s="125">
        <v>36768</v>
      </c>
      <c r="FO170" s="116">
        <v>31525</v>
      </c>
      <c r="FP170" s="116">
        <v>5243</v>
      </c>
      <c r="FQ170" s="116">
        <v>-966</v>
      </c>
      <c r="FR170" s="153">
        <v>1121</v>
      </c>
      <c r="FS170" s="153">
        <v>933</v>
      </c>
      <c r="FT170" s="276">
        <v>794</v>
      </c>
      <c r="FU170" s="3">
        <v>2850</v>
      </c>
      <c r="FV170" s="159">
        <v>4395</v>
      </c>
      <c r="FW170" s="170"/>
      <c r="FZ170" s="155"/>
      <c r="GA170" s="2"/>
      <c r="GD170" s="163"/>
      <c r="GE170" s="2"/>
      <c r="GF170" s="2"/>
    </row>
    <row r="171" spans="1:188" ht="14.5" x14ac:dyDescent="0.35">
      <c r="A171" s="72">
        <v>563</v>
      </c>
      <c r="B171" s="70" t="s">
        <v>167</v>
      </c>
      <c r="C171" s="158">
        <v>7430</v>
      </c>
      <c r="D171" s="171"/>
      <c r="E171" s="128">
        <v>0.31490280777537799</v>
      </c>
      <c r="F171" s="128">
        <v>69.616587216156645</v>
      </c>
      <c r="G171" s="129">
        <v>-4060.8344549125172</v>
      </c>
      <c r="H171" s="216"/>
      <c r="I171" s="172"/>
      <c r="J171" s="218"/>
      <c r="K171" s="128">
        <v>38.019954798522683</v>
      </c>
      <c r="L171" s="129">
        <v>2707.671601615074</v>
      </c>
      <c r="M171" s="129">
        <v>87.517520022883303</v>
      </c>
      <c r="N171" s="129">
        <v>11292.597577388964</v>
      </c>
      <c r="O171" s="129"/>
      <c r="P171" s="117">
        <v>29654</v>
      </c>
      <c r="Q171" s="161">
        <v>77694</v>
      </c>
      <c r="R171" s="161">
        <v>2</v>
      </c>
      <c r="S171" s="161">
        <v>-48038</v>
      </c>
      <c r="T171" s="124">
        <v>24332</v>
      </c>
      <c r="U171" s="124">
        <v>24050</v>
      </c>
      <c r="V171" s="136"/>
      <c r="X171" s="116">
        <v>-149</v>
      </c>
      <c r="Y171" s="116">
        <v>358</v>
      </c>
      <c r="Z171" s="161">
        <v>553</v>
      </c>
      <c r="AA171" s="116">
        <v>4196</v>
      </c>
      <c r="AB171" s="116">
        <v>443</v>
      </c>
      <c r="AD171" s="161">
        <v>-3200</v>
      </c>
      <c r="AE171" s="117">
        <v>-2</v>
      </c>
      <c r="AF171" s="117">
        <v>-12</v>
      </c>
      <c r="AG171" s="116">
        <v>-3</v>
      </c>
      <c r="AH171" s="116">
        <v>-3</v>
      </c>
      <c r="AI171" s="160">
        <v>-3220</v>
      </c>
      <c r="AJ171" s="161">
        <v>6675</v>
      </c>
      <c r="AK171" s="161">
        <v>1251</v>
      </c>
      <c r="AL171" s="150"/>
      <c r="AM171" s="161">
        <v>166</v>
      </c>
      <c r="AN171" s="161">
        <v>-2139</v>
      </c>
      <c r="AO171" s="160">
        <v>-898</v>
      </c>
      <c r="AQ171" s="160"/>
      <c r="AR171" s="117"/>
      <c r="AS171" s="117"/>
      <c r="AT171" s="99">
        <v>21.5</v>
      </c>
      <c r="AU171" s="130"/>
      <c r="AV171" s="262">
        <v>277</v>
      </c>
      <c r="AW171" s="267">
        <v>7288</v>
      </c>
      <c r="AX171" s="124"/>
      <c r="AY171" s="255">
        <v>1.3391915641476275</v>
      </c>
      <c r="AZ171" s="259">
        <v>72.06040184699863</v>
      </c>
      <c r="BA171" s="160">
        <v>-4355.6531284302955</v>
      </c>
      <c r="BB171" s="130"/>
      <c r="BC171" s="130"/>
      <c r="BD171" s="130"/>
      <c r="BE171" s="128">
        <v>35.709529128716277</v>
      </c>
      <c r="BF171" s="160">
        <v>2960.4829857299674</v>
      </c>
      <c r="BG171" s="129">
        <v>83.778137799632631</v>
      </c>
      <c r="BH171" s="131">
        <v>12026.481888035127</v>
      </c>
      <c r="BI171" s="124"/>
      <c r="BJ171" s="117">
        <v>30632</v>
      </c>
      <c r="BK171" s="117">
        <v>78789</v>
      </c>
      <c r="BL171" s="161">
        <v>4</v>
      </c>
      <c r="BM171" s="161">
        <v>-48153</v>
      </c>
      <c r="BN171" s="117">
        <v>25498</v>
      </c>
      <c r="BO171" s="117">
        <v>24000</v>
      </c>
      <c r="BP171" s="136"/>
      <c r="BR171" s="160">
        <v>-152</v>
      </c>
      <c r="BS171" s="160">
        <v>1700</v>
      </c>
      <c r="BT171" s="161">
        <v>2893</v>
      </c>
      <c r="BU171" s="125">
        <v>4233</v>
      </c>
      <c r="BV171" s="160">
        <v>51</v>
      </c>
      <c r="BX171" s="161">
        <v>-1289</v>
      </c>
      <c r="BY171" s="161">
        <v>-1</v>
      </c>
      <c r="BZ171" s="160">
        <v>-3</v>
      </c>
      <c r="CA171" s="160">
        <v>3</v>
      </c>
      <c r="CB171" s="160">
        <v>-1</v>
      </c>
      <c r="CC171" s="160">
        <v>-1297</v>
      </c>
      <c r="CD171" s="160">
        <v>5134</v>
      </c>
      <c r="CE171" s="116">
        <v>2777</v>
      </c>
      <c r="CF171" s="150"/>
      <c r="CG171" s="160">
        <v>-336</v>
      </c>
      <c r="CH171" s="160">
        <v>-2121</v>
      </c>
      <c r="CI171" s="159">
        <v>-2973</v>
      </c>
      <c r="CK171" s="124"/>
      <c r="CL171" s="161"/>
      <c r="CM171" s="124"/>
      <c r="CN171" s="265">
        <v>22</v>
      </c>
      <c r="CO171" s="130"/>
      <c r="CP171" s="116">
        <v>165</v>
      </c>
      <c r="CQ171" s="267">
        <v>7155</v>
      </c>
      <c r="CR171" s="124"/>
      <c r="CS171" s="268">
        <v>4.8839891451831754</v>
      </c>
      <c r="CT171" s="269">
        <v>71.837455422576667</v>
      </c>
      <c r="CU171" s="160">
        <v>-4883.4381551362685</v>
      </c>
      <c r="CV171" s="130"/>
      <c r="CW171" s="130"/>
      <c r="CX171" s="130"/>
      <c r="CY171" s="269">
        <v>35.854180136270948</v>
      </c>
      <c r="CZ171" s="125">
        <v>3232.8441649196366</v>
      </c>
      <c r="DA171" s="125">
        <v>91.968660472108155</v>
      </c>
      <c r="DB171" s="273">
        <v>12830.328441649197</v>
      </c>
      <c r="DC171" s="124"/>
      <c r="DD171" s="117">
        <v>32073</v>
      </c>
      <c r="DE171" s="117">
        <v>79535</v>
      </c>
      <c r="DF171" s="117">
        <v>6</v>
      </c>
      <c r="DG171" s="117">
        <v>-47456</v>
      </c>
      <c r="DH171" s="117">
        <v>26231</v>
      </c>
      <c r="DI171" s="117">
        <v>28343</v>
      </c>
      <c r="DJ171" s="136"/>
      <c r="DL171" s="160">
        <v>-42</v>
      </c>
      <c r="DM171" s="160">
        <v>80</v>
      </c>
      <c r="DN171" s="161">
        <v>7156</v>
      </c>
      <c r="DO171" s="116">
        <v>4378</v>
      </c>
      <c r="DP171" s="160">
        <v>0</v>
      </c>
      <c r="DR171" s="161">
        <v>2778</v>
      </c>
      <c r="DS171" s="117">
        <v>-2</v>
      </c>
      <c r="DT171" s="116">
        <v>-22</v>
      </c>
      <c r="DU171" s="116">
        <v>12</v>
      </c>
      <c r="DV171" s="116">
        <v>-4</v>
      </c>
      <c r="DW171" s="160">
        <v>2738</v>
      </c>
      <c r="DX171" s="160">
        <v>7845</v>
      </c>
      <c r="DY171" s="116">
        <v>7128</v>
      </c>
      <c r="DZ171" s="150"/>
      <c r="EA171" s="116">
        <v>256</v>
      </c>
      <c r="EB171" s="116">
        <v>-1431</v>
      </c>
      <c r="EC171" s="159">
        <v>-2877</v>
      </c>
      <c r="EE171" s="125"/>
      <c r="EF171" s="161"/>
      <c r="EG171" s="124"/>
      <c r="EH171" s="253">
        <v>22</v>
      </c>
      <c r="EI171" s="130"/>
      <c r="EJ171" s="125">
        <v>131</v>
      </c>
      <c r="EK171" s="116"/>
      <c r="EL171" s="159"/>
      <c r="EN171" s="116"/>
      <c r="EO171" s="116"/>
      <c r="EP171" s="159"/>
      <c r="EQ171" s="159">
        <v>-3044</v>
      </c>
      <c r="ER171" s="116">
        <v>127</v>
      </c>
      <c r="ES171" s="116">
        <v>768</v>
      </c>
      <c r="ET171" s="160">
        <v>-6356</v>
      </c>
      <c r="EU171" s="116">
        <v>483</v>
      </c>
      <c r="EV171" s="116">
        <v>123</v>
      </c>
      <c r="EW171" s="160">
        <v>-10277</v>
      </c>
      <c r="EX171" s="160">
        <v>148</v>
      </c>
      <c r="EY171" s="160">
        <v>124</v>
      </c>
      <c r="EZ171" s="116">
        <v>170</v>
      </c>
      <c r="FA171" s="116">
        <v>2040</v>
      </c>
      <c r="FB171" s="116">
        <v>2016</v>
      </c>
      <c r="FC171" s="160">
        <v>3444</v>
      </c>
      <c r="FD171" s="116">
        <v>4071</v>
      </c>
      <c r="FE171" s="116">
        <v>1249</v>
      </c>
      <c r="FF171" s="3">
        <v>42827</v>
      </c>
      <c r="FG171" s="3">
        <v>13679</v>
      </c>
      <c r="FH171" s="3">
        <v>29148</v>
      </c>
      <c r="FI171" s="3">
        <v>43</v>
      </c>
      <c r="FJ171" s="125">
        <v>46165</v>
      </c>
      <c r="FK171" s="160">
        <v>14206</v>
      </c>
      <c r="FL171" s="125">
        <v>31959</v>
      </c>
      <c r="FM171" s="116">
        <v>3</v>
      </c>
      <c r="FN171" s="125">
        <v>50054</v>
      </c>
      <c r="FO171" s="116">
        <v>18912</v>
      </c>
      <c r="FP171" s="116">
        <v>31142</v>
      </c>
      <c r="FQ171" s="116">
        <v>256</v>
      </c>
      <c r="FR171" s="153">
        <v>354</v>
      </c>
      <c r="FS171" s="153">
        <v>264</v>
      </c>
      <c r="FT171" s="276">
        <v>214</v>
      </c>
      <c r="FU171" s="3">
        <v>1196</v>
      </c>
      <c r="FV171" s="159">
        <v>808</v>
      </c>
      <c r="FW171" s="170"/>
      <c r="FZ171" s="155"/>
      <c r="GA171" s="2"/>
      <c r="GD171" s="163"/>
      <c r="GE171" s="2"/>
      <c r="GF171" s="2"/>
    </row>
    <row r="172" spans="1:188" ht="14.5" x14ac:dyDescent="0.35">
      <c r="A172" s="72">
        <v>564</v>
      </c>
      <c r="B172" s="70" t="s">
        <v>168</v>
      </c>
      <c r="C172" s="158">
        <v>203567</v>
      </c>
      <c r="D172" s="171"/>
      <c r="E172" s="128">
        <v>2.109586203889422</v>
      </c>
      <c r="F172" s="128">
        <v>65.013481140876777</v>
      </c>
      <c r="G172" s="129">
        <v>-4548.8414133921515</v>
      </c>
      <c r="H172" s="216"/>
      <c r="I172" s="172"/>
      <c r="J172" s="218"/>
      <c r="K172" s="128">
        <v>51.439600296422633</v>
      </c>
      <c r="L172" s="129">
        <v>1013.602401175043</v>
      </c>
      <c r="M172" s="129">
        <v>35.231115689295933</v>
      </c>
      <c r="N172" s="129">
        <v>10501.083181458684</v>
      </c>
      <c r="O172" s="129"/>
      <c r="P172" s="117">
        <v>847127</v>
      </c>
      <c r="Q172" s="161">
        <v>1777433</v>
      </c>
      <c r="R172" s="161">
        <v>2688</v>
      </c>
      <c r="S172" s="161">
        <v>-927618</v>
      </c>
      <c r="T172" s="124">
        <v>763750</v>
      </c>
      <c r="U172" s="124">
        <v>358170</v>
      </c>
      <c r="V172" s="136"/>
      <c r="X172" s="116">
        <v>-12080</v>
      </c>
      <c r="Y172" s="116">
        <v>-3639</v>
      </c>
      <c r="Z172" s="161">
        <v>178583</v>
      </c>
      <c r="AA172" s="116">
        <v>150294</v>
      </c>
      <c r="AB172" s="116">
        <v>9916</v>
      </c>
      <c r="AD172" s="161">
        <v>38205</v>
      </c>
      <c r="AE172" s="116">
        <v>-1867</v>
      </c>
      <c r="AF172" s="116">
        <v>-2413</v>
      </c>
      <c r="AG172" s="116">
        <v>-2506</v>
      </c>
      <c r="AH172" s="117">
        <v>-5243</v>
      </c>
      <c r="AI172" s="160">
        <v>26176</v>
      </c>
      <c r="AJ172" s="161">
        <v>761359</v>
      </c>
      <c r="AK172" s="161">
        <v>159709</v>
      </c>
      <c r="AL172" s="150"/>
      <c r="AM172" s="161">
        <v>18879</v>
      </c>
      <c r="AN172" s="161">
        <v>-76794</v>
      </c>
      <c r="AO172" s="160">
        <v>-72630</v>
      </c>
      <c r="AQ172" s="160"/>
      <c r="AR172" s="117"/>
      <c r="AS172" s="117"/>
      <c r="AT172" s="99">
        <v>20</v>
      </c>
      <c r="AU172" s="130"/>
      <c r="AV172" s="262">
        <v>37</v>
      </c>
      <c r="AW172" s="267">
        <v>205489</v>
      </c>
      <c r="AX172" s="124"/>
      <c r="AY172" s="255">
        <v>2.8720462003639855</v>
      </c>
      <c r="AZ172" s="259">
        <v>73.898201581936263</v>
      </c>
      <c r="BA172" s="160">
        <v>-5421.7208707035406</v>
      </c>
      <c r="BB172" s="130"/>
      <c r="BC172" s="130"/>
      <c r="BD172" s="130"/>
      <c r="BE172" s="128">
        <v>48.77639421949624</v>
      </c>
      <c r="BF172" s="160">
        <v>995.55207334699185</v>
      </c>
      <c r="BG172" s="129">
        <v>37.324113508710575</v>
      </c>
      <c r="BH172" s="131">
        <v>10909.936784937394</v>
      </c>
      <c r="BI172" s="124"/>
      <c r="BJ172" s="117">
        <v>873882</v>
      </c>
      <c r="BK172" s="117">
        <v>1816904</v>
      </c>
      <c r="BL172" s="161">
        <v>2389</v>
      </c>
      <c r="BM172" s="161">
        <v>-940633</v>
      </c>
      <c r="BN172" s="117">
        <v>792619</v>
      </c>
      <c r="BO172" s="117">
        <v>334591</v>
      </c>
      <c r="BP172" s="136"/>
      <c r="BR172" s="160">
        <v>-10595</v>
      </c>
      <c r="BS172" s="160">
        <v>10004</v>
      </c>
      <c r="BT172" s="161">
        <v>185986</v>
      </c>
      <c r="BU172" s="125">
        <v>159878</v>
      </c>
      <c r="BV172" s="160">
        <v>0</v>
      </c>
      <c r="BX172" s="161">
        <v>26108</v>
      </c>
      <c r="BY172" s="160">
        <v>-1484</v>
      </c>
      <c r="BZ172" s="160">
        <v>-129</v>
      </c>
      <c r="CA172" s="161">
        <v>5471</v>
      </c>
      <c r="CB172" s="161">
        <v>-3978</v>
      </c>
      <c r="CC172" s="160">
        <v>15046</v>
      </c>
      <c r="CD172" s="160">
        <v>774975</v>
      </c>
      <c r="CE172" s="116">
        <v>171966</v>
      </c>
      <c r="CF172" s="150"/>
      <c r="CG172" s="160">
        <v>-35106</v>
      </c>
      <c r="CH172" s="160">
        <v>-55349</v>
      </c>
      <c r="CI172" s="159">
        <v>-167043</v>
      </c>
      <c r="CK172" s="124"/>
      <c r="CL172" s="161"/>
      <c r="CM172" s="124"/>
      <c r="CN172" s="265">
        <v>20</v>
      </c>
      <c r="CO172" s="130"/>
      <c r="CP172" s="116">
        <v>28</v>
      </c>
      <c r="CQ172" s="267">
        <v>207327</v>
      </c>
      <c r="CR172" s="124"/>
      <c r="CS172" s="268">
        <v>3.4755188850006036</v>
      </c>
      <c r="CT172" s="269">
        <v>84.264054235016758</v>
      </c>
      <c r="CU172" s="160">
        <v>-6123.0857534233355</v>
      </c>
      <c r="CV172" s="130"/>
      <c r="CW172" s="130"/>
      <c r="CX172" s="130"/>
      <c r="CY172" s="269">
        <v>45.790742376579239</v>
      </c>
      <c r="CZ172" s="125">
        <v>1315.3376067757697</v>
      </c>
      <c r="DA172" s="125">
        <v>44.471982657515873</v>
      </c>
      <c r="DB172" s="273">
        <v>10795.521085049222</v>
      </c>
      <c r="DC172" s="124"/>
      <c r="DD172" s="117">
        <v>785003</v>
      </c>
      <c r="DE172" s="117">
        <v>1780733</v>
      </c>
      <c r="DF172" s="117">
        <v>-4496</v>
      </c>
      <c r="DG172" s="117">
        <v>-1000226</v>
      </c>
      <c r="DH172" s="117">
        <v>820841</v>
      </c>
      <c r="DI172" s="117">
        <v>411893</v>
      </c>
      <c r="DJ172" s="136"/>
      <c r="DL172" s="160">
        <v>-17601</v>
      </c>
      <c r="DM172" s="160">
        <v>-4897</v>
      </c>
      <c r="DN172" s="161">
        <v>210010</v>
      </c>
      <c r="DO172" s="116">
        <v>171327</v>
      </c>
      <c r="DP172" s="160">
        <v>0</v>
      </c>
      <c r="DR172" s="161">
        <v>38683</v>
      </c>
      <c r="DS172" s="116">
        <v>-159</v>
      </c>
      <c r="DT172" s="116">
        <v>684</v>
      </c>
      <c r="DU172" s="117">
        <v>2459</v>
      </c>
      <c r="DV172" s="117">
        <v>-3519</v>
      </c>
      <c r="DW172" s="160">
        <v>33230</v>
      </c>
      <c r="DX172" s="160">
        <v>808022</v>
      </c>
      <c r="DY172" s="116">
        <v>203187</v>
      </c>
      <c r="DZ172" s="150"/>
      <c r="EA172" s="116">
        <v>1789</v>
      </c>
      <c r="EB172" s="116">
        <v>-45893</v>
      </c>
      <c r="EC172" s="159">
        <v>-156991</v>
      </c>
      <c r="EE172" s="125"/>
      <c r="EF172" s="161"/>
      <c r="EG172" s="124"/>
      <c r="EH172" s="253">
        <v>20</v>
      </c>
      <c r="EI172" s="130"/>
      <c r="EJ172" s="125">
        <v>127</v>
      </c>
      <c r="EK172" s="116"/>
      <c r="EL172" s="159"/>
      <c r="EN172" s="116"/>
      <c r="EO172" s="116"/>
      <c r="EP172" s="159"/>
      <c r="EQ172" s="159">
        <v>-260195</v>
      </c>
      <c r="ER172" s="116">
        <v>2146</v>
      </c>
      <c r="ES172" s="116">
        <v>25710</v>
      </c>
      <c r="ET172" s="160">
        <v>-353806</v>
      </c>
      <c r="EU172" s="116">
        <v>723</v>
      </c>
      <c r="EV172" s="116">
        <v>14074</v>
      </c>
      <c r="EW172" s="160">
        <v>-383565</v>
      </c>
      <c r="EX172" s="160">
        <v>2651</v>
      </c>
      <c r="EY172" s="160">
        <v>20736</v>
      </c>
      <c r="EZ172" s="116">
        <v>57412</v>
      </c>
      <c r="FA172" s="116">
        <v>46576</v>
      </c>
      <c r="FB172" s="116">
        <v>200772</v>
      </c>
      <c r="FC172" s="160">
        <v>-10957</v>
      </c>
      <c r="FD172" s="116">
        <v>361242</v>
      </c>
      <c r="FE172" s="116">
        <v>-52996</v>
      </c>
      <c r="FF172" s="3">
        <v>834134</v>
      </c>
      <c r="FG172" s="3">
        <v>710004</v>
      </c>
      <c r="FH172" s="3">
        <v>124130</v>
      </c>
      <c r="FI172" s="3">
        <v>219</v>
      </c>
      <c r="FJ172" s="125">
        <v>967392</v>
      </c>
      <c r="FK172" s="160">
        <v>866398</v>
      </c>
      <c r="FL172" s="125">
        <v>100994</v>
      </c>
      <c r="FM172" s="116">
        <v>149</v>
      </c>
      <c r="FN172" s="125">
        <v>1229201</v>
      </c>
      <c r="FO172" s="116">
        <v>1163807</v>
      </c>
      <c r="FP172" s="116">
        <v>65394</v>
      </c>
      <c r="FQ172" s="116">
        <v>1789</v>
      </c>
      <c r="FR172" s="153">
        <v>12677</v>
      </c>
      <c r="FS172" s="153">
        <v>12788</v>
      </c>
      <c r="FT172" s="276">
        <v>10426</v>
      </c>
      <c r="FU172" s="3">
        <v>237983</v>
      </c>
      <c r="FV172" s="159">
        <v>235443</v>
      </c>
      <c r="FW172" s="170"/>
      <c r="FZ172" s="155"/>
      <c r="GA172" s="2"/>
      <c r="GD172" s="163"/>
      <c r="GE172" s="2"/>
      <c r="GF172" s="2"/>
    </row>
    <row r="173" spans="1:188" ht="14.5" x14ac:dyDescent="0.35">
      <c r="A173" s="72">
        <v>309</v>
      </c>
      <c r="B173" s="70" t="s">
        <v>110</v>
      </c>
      <c r="C173" s="158">
        <v>6803</v>
      </c>
      <c r="D173" s="171"/>
      <c r="E173" s="128">
        <v>1.2225185749666603</v>
      </c>
      <c r="F173" s="128">
        <v>49.804843977896013</v>
      </c>
      <c r="G173" s="129">
        <v>-4979.5678377186541</v>
      </c>
      <c r="H173" s="216"/>
      <c r="I173" s="172"/>
      <c r="J173" s="218"/>
      <c r="K173" s="128">
        <v>39.49476350757034</v>
      </c>
      <c r="L173" s="129">
        <v>1016.4633250036748</v>
      </c>
      <c r="M173" s="129">
        <v>24.952299509648846</v>
      </c>
      <c r="N173" s="129">
        <v>14868.734381890343</v>
      </c>
      <c r="O173" s="129"/>
      <c r="P173" s="117">
        <v>53376</v>
      </c>
      <c r="Q173" s="161">
        <v>91100</v>
      </c>
      <c r="R173" s="161">
        <v>0</v>
      </c>
      <c r="S173" s="161">
        <v>-37724</v>
      </c>
      <c r="T173" s="124">
        <v>21362</v>
      </c>
      <c r="U173" s="124">
        <v>22620</v>
      </c>
      <c r="V173" s="136"/>
      <c r="X173" s="116">
        <v>-207</v>
      </c>
      <c r="Y173" s="116">
        <v>42</v>
      </c>
      <c r="Z173" s="161">
        <v>6093</v>
      </c>
      <c r="AA173" s="116">
        <v>5696</v>
      </c>
      <c r="AB173" s="116">
        <v>0</v>
      </c>
      <c r="AD173" s="161">
        <v>397</v>
      </c>
      <c r="AE173" s="117">
        <v>3</v>
      </c>
      <c r="AF173" s="117">
        <v>-4</v>
      </c>
      <c r="AG173" s="116">
        <v>-401</v>
      </c>
      <c r="AH173" s="117">
        <v>5</v>
      </c>
      <c r="AI173" s="160">
        <v>0</v>
      </c>
      <c r="AJ173" s="161">
        <v>6790</v>
      </c>
      <c r="AK173" s="161">
        <v>6575</v>
      </c>
      <c r="AL173" s="150"/>
      <c r="AM173" s="161">
        <v>214</v>
      </c>
      <c r="AN173" s="161">
        <v>-4925</v>
      </c>
      <c r="AO173" s="160">
        <v>2555</v>
      </c>
      <c r="AQ173" s="160"/>
      <c r="AR173" s="117"/>
      <c r="AS173" s="117"/>
      <c r="AT173" s="99">
        <v>21.75</v>
      </c>
      <c r="AU173" s="130"/>
      <c r="AV173" s="262">
        <v>33</v>
      </c>
      <c r="AW173" s="267">
        <v>6688</v>
      </c>
      <c r="AX173" s="124"/>
      <c r="AY173" s="255">
        <v>1.0280877976190477</v>
      </c>
      <c r="AZ173" s="259">
        <v>53.513218916778925</v>
      </c>
      <c r="BA173" s="160">
        <v>-5464.1148325358854</v>
      </c>
      <c r="BB173" s="130"/>
      <c r="BC173" s="130"/>
      <c r="BD173" s="130"/>
      <c r="BE173" s="128">
        <v>37.576048671149536</v>
      </c>
      <c r="BF173" s="160">
        <v>952.45215311004779</v>
      </c>
      <c r="BG173" s="129">
        <v>23.731829550369522</v>
      </c>
      <c r="BH173" s="131">
        <v>15902.212918660287</v>
      </c>
      <c r="BI173" s="124"/>
      <c r="BJ173" s="117">
        <v>53435</v>
      </c>
      <c r="BK173" s="117">
        <v>91937</v>
      </c>
      <c r="BL173" s="161">
        <v>0</v>
      </c>
      <c r="BM173" s="161">
        <v>-38502</v>
      </c>
      <c r="BN173" s="117">
        <v>21129</v>
      </c>
      <c r="BO173" s="117">
        <v>22683</v>
      </c>
      <c r="BP173" s="136"/>
      <c r="BR173" s="160">
        <v>-68</v>
      </c>
      <c r="BS173" s="160">
        <v>57</v>
      </c>
      <c r="BT173" s="161">
        <v>5299</v>
      </c>
      <c r="BU173" s="125">
        <v>5609</v>
      </c>
      <c r="BV173" s="160">
        <v>0</v>
      </c>
      <c r="BX173" s="161">
        <v>-310</v>
      </c>
      <c r="BY173" s="161">
        <v>-7</v>
      </c>
      <c r="BZ173" s="161">
        <v>-3</v>
      </c>
      <c r="CA173" s="161">
        <v>345</v>
      </c>
      <c r="CB173" s="161">
        <v>91</v>
      </c>
      <c r="CC173" s="160">
        <v>-574</v>
      </c>
      <c r="CD173" s="160">
        <v>5502</v>
      </c>
      <c r="CE173" s="116">
        <v>4459</v>
      </c>
      <c r="CF173" s="150"/>
      <c r="CG173" s="161">
        <v>-1426</v>
      </c>
      <c r="CH173" s="160">
        <v>-5148</v>
      </c>
      <c r="CI173" s="159">
        <v>-2034</v>
      </c>
      <c r="CK173" s="124"/>
      <c r="CL173" s="161"/>
      <c r="CM173" s="124"/>
      <c r="CN173" s="265">
        <v>21.75</v>
      </c>
      <c r="CO173" s="130"/>
      <c r="CP173" s="116">
        <v>42</v>
      </c>
      <c r="CQ173" s="267">
        <v>6552</v>
      </c>
      <c r="CR173" s="124"/>
      <c r="CS173" s="268">
        <v>1.39944576405384</v>
      </c>
      <c r="CT173" s="269">
        <v>42.908162247361382</v>
      </c>
      <c r="CU173" s="160">
        <v>5059.9816849816852</v>
      </c>
      <c r="CV173" s="130"/>
      <c r="CW173" s="130"/>
      <c r="CX173" s="130"/>
      <c r="CY173" s="269">
        <v>69.735673701569667</v>
      </c>
      <c r="CZ173" s="125">
        <v>10390.262515262515</v>
      </c>
      <c r="DA173" s="125">
        <v>201.96785336909696</v>
      </c>
      <c r="DB173" s="273">
        <v>18777.472527472528</v>
      </c>
      <c r="DC173" s="124"/>
      <c r="DD173" s="117">
        <v>52828</v>
      </c>
      <c r="DE173" s="117">
        <v>93370</v>
      </c>
      <c r="DF173" s="117">
        <v>0</v>
      </c>
      <c r="DG173" s="117">
        <v>-40542</v>
      </c>
      <c r="DH173" s="117">
        <v>22210</v>
      </c>
      <c r="DI173" s="117">
        <v>25204</v>
      </c>
      <c r="DJ173" s="136"/>
      <c r="DL173" s="160">
        <v>-661</v>
      </c>
      <c r="DM173" s="160">
        <v>25</v>
      </c>
      <c r="DN173" s="161">
        <v>6236</v>
      </c>
      <c r="DO173" s="116">
        <v>5125</v>
      </c>
      <c r="DP173" s="160">
        <v>73181</v>
      </c>
      <c r="DR173" s="161">
        <v>74292</v>
      </c>
      <c r="DS173" s="117">
        <v>-11</v>
      </c>
      <c r="DT173" s="117">
        <v>-50268</v>
      </c>
      <c r="DU173" s="117">
        <v>5</v>
      </c>
      <c r="DV173" s="117">
        <v>-5</v>
      </c>
      <c r="DW173" s="160">
        <v>24003</v>
      </c>
      <c r="DX173" s="160">
        <v>29703</v>
      </c>
      <c r="DY173" s="116">
        <v>5025</v>
      </c>
      <c r="DZ173" s="150"/>
      <c r="EA173" s="117">
        <v>-2899</v>
      </c>
      <c r="EB173" s="116">
        <v>-4218</v>
      </c>
      <c r="EC173" s="159">
        <v>64054</v>
      </c>
      <c r="EE173" s="125"/>
      <c r="EF173" s="161"/>
      <c r="EG173" s="124"/>
      <c r="EH173" s="253">
        <v>21.75</v>
      </c>
      <c r="EI173" s="130"/>
      <c r="EJ173" s="125">
        <v>153</v>
      </c>
      <c r="EK173" s="116"/>
      <c r="EL173" s="159"/>
      <c r="EN173" s="116"/>
      <c r="EO173" s="116"/>
      <c r="EP173" s="159"/>
      <c r="EQ173" s="159">
        <v>-4798</v>
      </c>
      <c r="ER173" s="116">
        <v>102</v>
      </c>
      <c r="ES173" s="116">
        <v>676</v>
      </c>
      <c r="ET173" s="160">
        <v>-8959</v>
      </c>
      <c r="EU173" s="116">
        <v>1092</v>
      </c>
      <c r="EV173" s="116">
        <v>1374</v>
      </c>
      <c r="EW173" s="160">
        <v>-24589</v>
      </c>
      <c r="EX173" s="160">
        <v>993</v>
      </c>
      <c r="EY173" s="160">
        <v>82625</v>
      </c>
      <c r="EZ173" s="116">
        <v>1200</v>
      </c>
      <c r="FA173" s="116">
        <v>-5</v>
      </c>
      <c r="FB173" s="116">
        <v>5472</v>
      </c>
      <c r="FC173" s="160">
        <v>3734</v>
      </c>
      <c r="FD173" s="116">
        <v>2296</v>
      </c>
      <c r="FE173" s="116">
        <v>-292</v>
      </c>
      <c r="FF173" s="3">
        <v>30568</v>
      </c>
      <c r="FG173" s="3">
        <v>26232</v>
      </c>
      <c r="FH173" s="3">
        <v>4336</v>
      </c>
      <c r="FI173" s="3">
        <v>118</v>
      </c>
      <c r="FJ173" s="125">
        <v>34627</v>
      </c>
      <c r="FK173" s="160">
        <v>26867</v>
      </c>
      <c r="FL173" s="125">
        <v>7760</v>
      </c>
      <c r="FM173" s="116">
        <v>175</v>
      </c>
      <c r="FN173" s="125">
        <v>32303</v>
      </c>
      <c r="FO173" s="116">
        <v>25425</v>
      </c>
      <c r="FP173" s="116">
        <v>6878</v>
      </c>
      <c r="FQ173" s="116">
        <v>-2899</v>
      </c>
      <c r="FR173" s="153">
        <v>1402</v>
      </c>
      <c r="FS173" s="153">
        <v>0</v>
      </c>
      <c r="FT173" s="276">
        <v>85</v>
      </c>
      <c r="FU173" s="3">
        <v>10733</v>
      </c>
      <c r="FV173" s="159">
        <v>11785</v>
      </c>
      <c r="FW173" s="170"/>
      <c r="FZ173" s="155"/>
      <c r="GA173" s="2"/>
      <c r="GD173" s="163"/>
      <c r="GE173" s="2"/>
      <c r="GF173" s="2"/>
    </row>
    <row r="174" spans="1:188" ht="14.5" x14ac:dyDescent="0.35">
      <c r="A174" s="72">
        <v>576</v>
      </c>
      <c r="B174" s="70" t="s">
        <v>169</v>
      </c>
      <c r="C174" s="158">
        <v>2963</v>
      </c>
      <c r="D174" s="171"/>
      <c r="E174" s="128">
        <v>2.4830188679245282</v>
      </c>
      <c r="F174" s="128">
        <v>40.425430438307814</v>
      </c>
      <c r="G174" s="129">
        <v>-2307.1211609854877</v>
      </c>
      <c r="H174" s="216"/>
      <c r="I174" s="172"/>
      <c r="J174" s="218"/>
      <c r="K174" s="128">
        <v>57.641183991508456</v>
      </c>
      <c r="L174" s="129">
        <v>2794.4650691866354</v>
      </c>
      <c r="M174" s="129">
        <v>70.579168612797758</v>
      </c>
      <c r="N174" s="129">
        <v>14451.569355383057</v>
      </c>
      <c r="O174" s="129"/>
      <c r="P174" s="117">
        <v>21740</v>
      </c>
      <c r="Q174" s="161">
        <v>40114</v>
      </c>
      <c r="R174" s="161">
        <v>0</v>
      </c>
      <c r="S174" s="161">
        <v>-18374</v>
      </c>
      <c r="T174" s="124">
        <v>10757</v>
      </c>
      <c r="U174" s="124">
        <v>9437</v>
      </c>
      <c r="V174" s="136"/>
      <c r="X174" s="116">
        <v>19</v>
      </c>
      <c r="Y174" s="116">
        <v>29</v>
      </c>
      <c r="Z174" s="161">
        <v>1868</v>
      </c>
      <c r="AA174" s="116">
        <v>2296</v>
      </c>
      <c r="AB174" s="116">
        <v>136</v>
      </c>
      <c r="AD174" s="161">
        <v>-292</v>
      </c>
      <c r="AE174" s="116">
        <v>-17</v>
      </c>
      <c r="AF174" s="116">
        <v>0</v>
      </c>
      <c r="AG174" s="116">
        <v>-10</v>
      </c>
      <c r="AH174" s="116">
        <v>-16</v>
      </c>
      <c r="AI174" s="160">
        <v>-335</v>
      </c>
      <c r="AJ174" s="161">
        <v>10969</v>
      </c>
      <c r="AK174" s="161">
        <v>1971</v>
      </c>
      <c r="AL174" s="150"/>
      <c r="AM174" s="161">
        <v>346</v>
      </c>
      <c r="AN174" s="161">
        <v>-689</v>
      </c>
      <c r="AO174" s="160">
        <v>261</v>
      </c>
      <c r="AQ174" s="160"/>
      <c r="AR174" s="117"/>
      <c r="AS174" s="117"/>
      <c r="AT174" s="99">
        <v>21</v>
      </c>
      <c r="AU174" s="130"/>
      <c r="AV174" s="262">
        <v>99</v>
      </c>
      <c r="AW174" s="267">
        <v>2896</v>
      </c>
      <c r="AX174" s="124"/>
      <c r="AY174" s="255">
        <v>1.1863481228668942</v>
      </c>
      <c r="AZ174" s="259">
        <v>41.244185500164448</v>
      </c>
      <c r="BA174" s="160">
        <v>-2681.9751381215469</v>
      </c>
      <c r="BB174" s="130"/>
      <c r="BC174" s="130"/>
      <c r="BD174" s="130"/>
      <c r="BE174" s="128">
        <v>56.811377245508979</v>
      </c>
      <c r="BF174" s="160">
        <v>2446.8232044198899</v>
      </c>
      <c r="BG174" s="129">
        <v>66.817006035683491</v>
      </c>
      <c r="BH174" s="131">
        <v>15618.439226519336</v>
      </c>
      <c r="BI174" s="124"/>
      <c r="BJ174" s="117">
        <v>21969</v>
      </c>
      <c r="BK174" s="117">
        <v>41140</v>
      </c>
      <c r="BL174" s="161">
        <v>7</v>
      </c>
      <c r="BM174" s="161">
        <v>-19164</v>
      </c>
      <c r="BN174" s="117">
        <v>10280</v>
      </c>
      <c r="BO174" s="117">
        <v>10318</v>
      </c>
      <c r="BP174" s="136"/>
      <c r="BR174" s="160">
        <v>44</v>
      </c>
      <c r="BS174" s="160">
        <v>125</v>
      </c>
      <c r="BT174" s="161">
        <v>1603</v>
      </c>
      <c r="BU174" s="125">
        <v>2205</v>
      </c>
      <c r="BV174" s="160">
        <v>0</v>
      </c>
      <c r="BX174" s="161">
        <v>-602</v>
      </c>
      <c r="BY174" s="160">
        <v>7</v>
      </c>
      <c r="BZ174" s="160">
        <v>0</v>
      </c>
      <c r="CA174" s="160">
        <v>2</v>
      </c>
      <c r="CB174" s="160">
        <v>83</v>
      </c>
      <c r="CC174" s="160">
        <v>-514</v>
      </c>
      <c r="CD174" s="160">
        <v>10455</v>
      </c>
      <c r="CE174" s="116">
        <v>1146</v>
      </c>
      <c r="CF174" s="150"/>
      <c r="CG174" s="161">
        <v>-889</v>
      </c>
      <c r="CH174" s="160">
        <v>-1360</v>
      </c>
      <c r="CI174" s="159">
        <v>-981</v>
      </c>
      <c r="CK174" s="124"/>
      <c r="CL174" s="161"/>
      <c r="CM174" s="124"/>
      <c r="CN174" s="265">
        <v>21</v>
      </c>
      <c r="CO174" s="130"/>
      <c r="CP174" s="116">
        <v>101</v>
      </c>
      <c r="CQ174" s="267">
        <v>2861</v>
      </c>
      <c r="CR174" s="124"/>
      <c r="CS174" s="268">
        <v>2.1865959498553518</v>
      </c>
      <c r="CT174" s="269">
        <v>39.377696721676081</v>
      </c>
      <c r="CU174" s="160">
        <v>-1988.8150996155189</v>
      </c>
      <c r="CV174" s="130"/>
      <c r="CW174" s="130"/>
      <c r="CX174" s="130"/>
      <c r="CY174" s="269">
        <v>58.852612152833153</v>
      </c>
      <c r="CZ174" s="125">
        <v>3656.4138413142259</v>
      </c>
      <c r="DA174" s="125">
        <v>84.375952975493334</v>
      </c>
      <c r="DB174" s="273">
        <v>15817.196784341138</v>
      </c>
      <c r="DC174" s="124"/>
      <c r="DD174" s="117">
        <v>22273</v>
      </c>
      <c r="DE174" s="117">
        <v>40610</v>
      </c>
      <c r="DF174" s="117">
        <v>1</v>
      </c>
      <c r="DG174" s="117">
        <v>-18336</v>
      </c>
      <c r="DH174" s="117">
        <v>10703</v>
      </c>
      <c r="DI174" s="117">
        <v>11986</v>
      </c>
      <c r="DJ174" s="136"/>
      <c r="DL174" s="160">
        <v>-9</v>
      </c>
      <c r="DM174" s="160">
        <v>92</v>
      </c>
      <c r="DN174" s="161">
        <v>4436</v>
      </c>
      <c r="DO174" s="116">
        <v>2165</v>
      </c>
      <c r="DP174" s="160">
        <v>0</v>
      </c>
      <c r="DR174" s="161">
        <v>2271</v>
      </c>
      <c r="DS174" s="116">
        <v>-43</v>
      </c>
      <c r="DT174" s="116">
        <v>0</v>
      </c>
      <c r="DU174" s="116">
        <v>5</v>
      </c>
      <c r="DV174" s="116">
        <v>0</v>
      </c>
      <c r="DW174" s="160">
        <v>2223</v>
      </c>
      <c r="DX174" s="160">
        <v>12721</v>
      </c>
      <c r="DY174" s="116">
        <v>4286</v>
      </c>
      <c r="DZ174" s="150"/>
      <c r="EA174" s="117">
        <v>1148</v>
      </c>
      <c r="EB174" s="116">
        <v>-1975</v>
      </c>
      <c r="EC174" s="159">
        <v>2324</v>
      </c>
      <c r="EE174" s="125"/>
      <c r="EF174" s="161"/>
      <c r="EG174" s="124"/>
      <c r="EH174" s="253">
        <v>21</v>
      </c>
      <c r="EI174" s="130"/>
      <c r="EJ174" s="125">
        <v>19</v>
      </c>
      <c r="EK174" s="116"/>
      <c r="EL174" s="159"/>
      <c r="EN174" s="116"/>
      <c r="EO174" s="116"/>
      <c r="EP174" s="159"/>
      <c r="EQ174" s="159">
        <v>-1829</v>
      </c>
      <c r="ER174" s="116">
        <v>38</v>
      </c>
      <c r="ES174" s="116">
        <v>81</v>
      </c>
      <c r="ET174" s="160">
        <v>-2628</v>
      </c>
      <c r="EU174" s="116">
        <v>102</v>
      </c>
      <c r="EV174" s="116">
        <v>399</v>
      </c>
      <c r="EW174" s="160">
        <v>-2370</v>
      </c>
      <c r="EX174" s="160">
        <v>245</v>
      </c>
      <c r="EY174" s="160">
        <v>163</v>
      </c>
      <c r="EZ174" s="116">
        <v>804</v>
      </c>
      <c r="FA174" s="116">
        <v>-508</v>
      </c>
      <c r="FB174" s="116">
        <v>1465</v>
      </c>
      <c r="FC174" s="160">
        <v>-171</v>
      </c>
      <c r="FD174" s="116">
        <v>1550</v>
      </c>
      <c r="FE174" s="116">
        <v>381</v>
      </c>
      <c r="FF174" s="3">
        <v>11977</v>
      </c>
      <c r="FG174" s="3">
        <v>10204</v>
      </c>
      <c r="FH174" s="3">
        <v>1773</v>
      </c>
      <c r="FI174" s="3">
        <v>57</v>
      </c>
      <c r="FJ174" s="125">
        <v>11910</v>
      </c>
      <c r="FK174" s="160">
        <v>10071</v>
      </c>
      <c r="FL174" s="125">
        <v>1839</v>
      </c>
      <c r="FM174" s="116">
        <v>63</v>
      </c>
      <c r="FN174" s="125">
        <v>11866</v>
      </c>
      <c r="FO174" s="116">
        <v>9579</v>
      </c>
      <c r="FP174" s="116">
        <v>2287</v>
      </c>
      <c r="FQ174" s="116">
        <v>1148</v>
      </c>
      <c r="FR174" s="153">
        <v>5</v>
      </c>
      <c r="FS174" s="153">
        <v>5</v>
      </c>
      <c r="FT174" s="276">
        <v>4</v>
      </c>
      <c r="FU174" s="3">
        <v>8165</v>
      </c>
      <c r="FV174" s="159">
        <v>7030</v>
      </c>
      <c r="FW174" s="170"/>
      <c r="FZ174" s="155"/>
      <c r="GA174" s="2"/>
      <c r="GD174" s="163"/>
      <c r="GE174" s="2"/>
      <c r="GF174" s="2"/>
    </row>
    <row r="175" spans="1:188" ht="14.5" x14ac:dyDescent="0.35">
      <c r="A175" s="72">
        <v>577</v>
      </c>
      <c r="B175" s="70" t="s">
        <v>170</v>
      </c>
      <c r="C175" s="158">
        <v>10832</v>
      </c>
      <c r="D175" s="171"/>
      <c r="E175" s="128">
        <v>1.7060176312763511</v>
      </c>
      <c r="F175" s="128">
        <v>87.893113641456878</v>
      </c>
      <c r="G175" s="129">
        <v>-6182.4224519940917</v>
      </c>
      <c r="H175" s="216"/>
      <c r="I175" s="172"/>
      <c r="J175" s="218"/>
      <c r="K175" s="128">
        <v>17.493569984096755</v>
      </c>
      <c r="L175" s="129">
        <v>956.51772525849333</v>
      </c>
      <c r="M175" s="129">
        <v>37.96</v>
      </c>
      <c r="N175" s="129">
        <v>9197.2858197932055</v>
      </c>
      <c r="O175" s="129"/>
      <c r="P175" s="117">
        <v>33733</v>
      </c>
      <c r="Q175" s="161">
        <v>89318</v>
      </c>
      <c r="R175" s="161">
        <v>22</v>
      </c>
      <c r="S175" s="161">
        <v>-55563</v>
      </c>
      <c r="T175" s="124">
        <v>41088</v>
      </c>
      <c r="U175" s="124">
        <v>18886</v>
      </c>
      <c r="V175" s="136"/>
      <c r="X175" s="116">
        <v>-422</v>
      </c>
      <c r="Y175" s="116">
        <v>7</v>
      </c>
      <c r="Z175" s="161">
        <v>3996</v>
      </c>
      <c r="AA175" s="116">
        <v>5169</v>
      </c>
      <c r="AB175" s="116">
        <v>0</v>
      </c>
      <c r="AD175" s="161">
        <v>-1173</v>
      </c>
      <c r="AE175" s="116">
        <v>-3</v>
      </c>
      <c r="AF175" s="116">
        <v>0</v>
      </c>
      <c r="AG175" s="116">
        <v>-132</v>
      </c>
      <c r="AH175" s="116">
        <v>-43</v>
      </c>
      <c r="AI175" s="160">
        <v>-1351</v>
      </c>
      <c r="AJ175" s="161">
        <v>-1737</v>
      </c>
      <c r="AK175" s="161">
        <v>3148</v>
      </c>
      <c r="AL175" s="150"/>
      <c r="AM175" s="161">
        <v>790</v>
      </c>
      <c r="AN175" s="161">
        <v>-2154</v>
      </c>
      <c r="AO175" s="160">
        <v>-3438</v>
      </c>
      <c r="AQ175" s="160"/>
      <c r="AR175" s="117"/>
      <c r="AS175" s="117"/>
      <c r="AT175" s="99">
        <v>20.75</v>
      </c>
      <c r="AU175" s="130"/>
      <c r="AV175" s="262">
        <v>190</v>
      </c>
      <c r="AW175" s="267">
        <v>10850</v>
      </c>
      <c r="AX175" s="124"/>
      <c r="AY175" s="255">
        <v>0.48535049288061338</v>
      </c>
      <c r="AZ175" s="259">
        <v>95.040998401320195</v>
      </c>
      <c r="BA175" s="160">
        <v>-6749.5852534562209</v>
      </c>
      <c r="BB175" s="130"/>
      <c r="BC175" s="130"/>
      <c r="BD175" s="130"/>
      <c r="BE175" s="128">
        <v>15.61892941938269</v>
      </c>
      <c r="BF175" s="160">
        <v>1252.258064516129</v>
      </c>
      <c r="BG175" s="129">
        <v>34.068381628762211</v>
      </c>
      <c r="BH175" s="131">
        <v>10200.276497695853</v>
      </c>
      <c r="BI175" s="124"/>
      <c r="BJ175" s="117">
        <v>33603</v>
      </c>
      <c r="BK175" s="117">
        <v>93472</v>
      </c>
      <c r="BL175" s="161">
        <v>12</v>
      </c>
      <c r="BM175" s="161">
        <v>-59857</v>
      </c>
      <c r="BN175" s="117">
        <v>43495</v>
      </c>
      <c r="BO175" s="117">
        <v>19857</v>
      </c>
      <c r="BP175" s="136"/>
      <c r="BR175" s="160">
        <v>-385</v>
      </c>
      <c r="BS175" s="160">
        <v>29</v>
      </c>
      <c r="BT175" s="161">
        <v>3139</v>
      </c>
      <c r="BU175" s="125">
        <v>5151</v>
      </c>
      <c r="BV175" s="160">
        <v>360</v>
      </c>
      <c r="BX175" s="161">
        <v>-1652</v>
      </c>
      <c r="BY175" s="160">
        <v>0</v>
      </c>
      <c r="BZ175" s="160">
        <v>0</v>
      </c>
      <c r="CA175" s="160">
        <v>129</v>
      </c>
      <c r="CB175" s="160">
        <v>-27</v>
      </c>
      <c r="CC175" s="160">
        <v>-1808</v>
      </c>
      <c r="CD175" s="160">
        <v>-2199</v>
      </c>
      <c r="CE175" s="116">
        <v>3277</v>
      </c>
      <c r="CF175" s="150"/>
      <c r="CG175" s="161">
        <v>437</v>
      </c>
      <c r="CH175" s="160">
        <v>-6898</v>
      </c>
      <c r="CI175" s="159">
        <v>-6153</v>
      </c>
      <c r="CK175" s="124"/>
      <c r="CL175" s="161"/>
      <c r="CM175" s="124"/>
      <c r="CN175" s="265">
        <v>20.75</v>
      </c>
      <c r="CO175" s="130"/>
      <c r="CP175" s="116">
        <v>212</v>
      </c>
      <c r="CQ175" s="267">
        <v>10922</v>
      </c>
      <c r="CR175" s="124"/>
      <c r="CS175" s="268">
        <v>1.5468188543648278</v>
      </c>
      <c r="CT175" s="269">
        <v>83.832161329691402</v>
      </c>
      <c r="CU175" s="160">
        <v>-6404.504669474456</v>
      </c>
      <c r="CV175" s="130"/>
      <c r="CW175" s="130"/>
      <c r="CX175" s="130"/>
      <c r="CY175" s="269">
        <v>18.328643885824295</v>
      </c>
      <c r="CZ175" s="125">
        <v>987.82274308734668</v>
      </c>
      <c r="DA175" s="125">
        <v>37.393861989725671</v>
      </c>
      <c r="DB175" s="273">
        <v>9642.0985167551735</v>
      </c>
      <c r="DC175" s="124"/>
      <c r="DD175" s="117">
        <v>34262</v>
      </c>
      <c r="DE175" s="117">
        <v>95944</v>
      </c>
      <c r="DF175" s="117">
        <v>-43</v>
      </c>
      <c r="DG175" s="117">
        <v>-61725</v>
      </c>
      <c r="DH175" s="117">
        <v>43981</v>
      </c>
      <c r="DI175" s="117">
        <v>24999</v>
      </c>
      <c r="DJ175" s="136"/>
      <c r="DL175" s="160">
        <v>-336</v>
      </c>
      <c r="DM175" s="160">
        <v>41</v>
      </c>
      <c r="DN175" s="161">
        <v>6960</v>
      </c>
      <c r="DO175" s="116">
        <v>5652</v>
      </c>
      <c r="DP175" s="160">
        <v>1</v>
      </c>
      <c r="DR175" s="161">
        <v>1309</v>
      </c>
      <c r="DS175" s="116">
        <v>0</v>
      </c>
      <c r="DT175" s="116">
        <v>-6</v>
      </c>
      <c r="DU175" s="116">
        <v>98</v>
      </c>
      <c r="DV175" s="116">
        <v>200</v>
      </c>
      <c r="DW175" s="160">
        <v>1405</v>
      </c>
      <c r="DX175" s="160">
        <v>226</v>
      </c>
      <c r="DY175" s="116">
        <v>6598</v>
      </c>
      <c r="DZ175" s="150"/>
      <c r="EA175" s="117">
        <v>491</v>
      </c>
      <c r="EB175" s="116">
        <v>-4373</v>
      </c>
      <c r="EC175" s="159">
        <v>2604</v>
      </c>
      <c r="EE175" s="125"/>
      <c r="EF175" s="161"/>
      <c r="EG175" s="124"/>
      <c r="EH175" s="253">
        <v>20.75</v>
      </c>
      <c r="EI175" s="130"/>
      <c r="EJ175" s="125">
        <v>266</v>
      </c>
      <c r="EK175" s="116"/>
      <c r="EL175" s="159"/>
      <c r="EN175" s="116"/>
      <c r="EO175" s="116"/>
      <c r="EP175" s="159"/>
      <c r="EQ175" s="159">
        <v>-7692</v>
      </c>
      <c r="ER175" s="116">
        <v>124</v>
      </c>
      <c r="ES175" s="116">
        <v>982</v>
      </c>
      <c r="ET175" s="160">
        <v>-9897</v>
      </c>
      <c r="EU175" s="116">
        <v>134</v>
      </c>
      <c r="EV175" s="116">
        <v>333</v>
      </c>
      <c r="EW175" s="160">
        <v>-4577</v>
      </c>
      <c r="EX175" s="160">
        <v>160</v>
      </c>
      <c r="EY175" s="160">
        <v>423</v>
      </c>
      <c r="EZ175" s="116">
        <v>4549</v>
      </c>
      <c r="FA175" s="116">
        <v>17</v>
      </c>
      <c r="FB175" s="116">
        <v>16582</v>
      </c>
      <c r="FC175" s="160">
        <v>-1239</v>
      </c>
      <c r="FD175" s="116">
        <v>10032</v>
      </c>
      <c r="FE175" s="116">
        <v>-12371</v>
      </c>
      <c r="FF175" s="3">
        <v>62224</v>
      </c>
      <c r="FG175" s="3">
        <v>20522</v>
      </c>
      <c r="FH175" s="3">
        <v>41702</v>
      </c>
      <c r="FI175" s="3">
        <v>20</v>
      </c>
      <c r="FJ175" s="125">
        <v>71432</v>
      </c>
      <c r="FK175" s="160">
        <v>32836</v>
      </c>
      <c r="FL175" s="125">
        <v>38596</v>
      </c>
      <c r="FM175" s="116">
        <v>20</v>
      </c>
      <c r="FN175" s="125">
        <v>64719</v>
      </c>
      <c r="FO175" s="116">
        <v>38922</v>
      </c>
      <c r="FP175" s="116">
        <v>25797</v>
      </c>
      <c r="FQ175" s="116">
        <v>491</v>
      </c>
      <c r="FR175" s="153">
        <v>5929</v>
      </c>
      <c r="FS175" s="153">
        <v>5514</v>
      </c>
      <c r="FT175" s="276">
        <v>5587</v>
      </c>
      <c r="FU175" s="3">
        <v>4333</v>
      </c>
      <c r="FV175" s="159">
        <v>4283</v>
      </c>
      <c r="FW175" s="170"/>
      <c r="FZ175" s="155"/>
      <c r="GA175" s="2"/>
      <c r="GD175" s="163"/>
      <c r="GE175" s="2"/>
      <c r="GF175" s="2"/>
    </row>
    <row r="176" spans="1:188" ht="14.5" x14ac:dyDescent="0.35">
      <c r="A176" s="72">
        <v>578</v>
      </c>
      <c r="B176" s="70" t="s">
        <v>171</v>
      </c>
      <c r="C176" s="158">
        <v>3336</v>
      </c>
      <c r="D176" s="171"/>
      <c r="E176" s="128">
        <v>0.68902756110244412</v>
      </c>
      <c r="F176" s="128">
        <v>60.837588135181136</v>
      </c>
      <c r="G176" s="129">
        <v>-6008.9928057553961</v>
      </c>
      <c r="H176" s="216"/>
      <c r="I176" s="172"/>
      <c r="J176" s="218"/>
      <c r="K176" s="128">
        <v>21.384790011350738</v>
      </c>
      <c r="L176" s="129">
        <v>1926.8585131894486</v>
      </c>
      <c r="M176" s="129">
        <v>42.439403805802769</v>
      </c>
      <c r="N176" s="129">
        <v>16571.942446043166</v>
      </c>
      <c r="O176" s="129"/>
      <c r="P176" s="117">
        <v>25729</v>
      </c>
      <c r="Q176" s="161">
        <v>47978</v>
      </c>
      <c r="R176" s="161">
        <v>-3</v>
      </c>
      <c r="S176" s="161">
        <v>-22252</v>
      </c>
      <c r="T176" s="124">
        <v>10688</v>
      </c>
      <c r="U176" s="124">
        <v>12939</v>
      </c>
      <c r="V176" s="136"/>
      <c r="X176" s="116">
        <v>-61</v>
      </c>
      <c r="Y176" s="116">
        <v>-53</v>
      </c>
      <c r="Z176" s="161">
        <v>1261</v>
      </c>
      <c r="AA176" s="116">
        <v>1934</v>
      </c>
      <c r="AB176" s="117">
        <v>-2</v>
      </c>
      <c r="AD176" s="161">
        <v>-675</v>
      </c>
      <c r="AE176" s="117">
        <v>0</v>
      </c>
      <c r="AF176" s="117">
        <v>4</v>
      </c>
      <c r="AG176" s="116">
        <v>0</v>
      </c>
      <c r="AH176" s="117">
        <v>-51</v>
      </c>
      <c r="AI176" s="160">
        <v>-722</v>
      </c>
      <c r="AJ176" s="161">
        <v>351</v>
      </c>
      <c r="AK176" s="161">
        <v>1520</v>
      </c>
      <c r="AL176" s="150"/>
      <c r="AM176" s="161">
        <v>-1148</v>
      </c>
      <c r="AN176" s="161">
        <v>-1859</v>
      </c>
      <c r="AO176" s="160">
        <v>-3320</v>
      </c>
      <c r="AQ176" s="160"/>
      <c r="AR176" s="117"/>
      <c r="AS176" s="117"/>
      <c r="AT176" s="99">
        <v>22</v>
      </c>
      <c r="AU176" s="130"/>
      <c r="AV176" s="262">
        <v>187</v>
      </c>
      <c r="AW176" s="267">
        <v>3273</v>
      </c>
      <c r="AX176" s="124"/>
      <c r="AY176" s="255">
        <v>0.88845968131337516</v>
      </c>
      <c r="AZ176" s="259">
        <v>69.466098254161594</v>
      </c>
      <c r="BA176" s="160">
        <v>-7081.5765352887265</v>
      </c>
      <c r="BB176" s="130"/>
      <c r="BC176" s="130"/>
      <c r="BD176" s="130"/>
      <c r="BE176" s="128">
        <v>18.702149248224334</v>
      </c>
      <c r="BF176" s="160">
        <v>2298.8084326306143</v>
      </c>
      <c r="BG176" s="129">
        <v>42.408719543055454</v>
      </c>
      <c r="BH176" s="131">
        <v>16903.146959975558</v>
      </c>
      <c r="BI176" s="124"/>
      <c r="BJ176" s="117">
        <v>25132</v>
      </c>
      <c r="BK176" s="117">
        <v>48050</v>
      </c>
      <c r="BL176" s="161">
        <v>-3</v>
      </c>
      <c r="BM176" s="161">
        <v>-22921</v>
      </c>
      <c r="BN176" s="117">
        <v>11246</v>
      </c>
      <c r="BO176" s="117">
        <v>12882</v>
      </c>
      <c r="BP176" s="136"/>
      <c r="BR176" s="160">
        <v>-151</v>
      </c>
      <c r="BS176" s="160">
        <v>631</v>
      </c>
      <c r="BT176" s="161">
        <v>1687</v>
      </c>
      <c r="BU176" s="125">
        <v>2024</v>
      </c>
      <c r="BV176" s="161">
        <v>0</v>
      </c>
      <c r="BX176" s="161">
        <v>-337</v>
      </c>
      <c r="BY176" s="161">
        <v>-9</v>
      </c>
      <c r="BZ176" s="160">
        <v>193</v>
      </c>
      <c r="CA176" s="161">
        <v>0</v>
      </c>
      <c r="CB176" s="161">
        <v>-36</v>
      </c>
      <c r="CC176" s="160">
        <v>-189</v>
      </c>
      <c r="CD176" s="160">
        <v>138</v>
      </c>
      <c r="CE176" s="116">
        <v>1680</v>
      </c>
      <c r="CF176" s="150"/>
      <c r="CG176" s="161">
        <v>36</v>
      </c>
      <c r="CH176" s="160">
        <v>-1918</v>
      </c>
      <c r="CI176" s="159">
        <v>-3058</v>
      </c>
      <c r="CK176" s="124"/>
      <c r="CL176" s="161"/>
      <c r="CM176" s="124"/>
      <c r="CN176" s="265">
        <v>22</v>
      </c>
      <c r="CO176" s="130"/>
      <c r="CP176" s="116">
        <v>116</v>
      </c>
      <c r="CQ176" s="267">
        <v>3235</v>
      </c>
      <c r="CR176" s="124"/>
      <c r="CS176" s="268">
        <v>0.7487942122186495</v>
      </c>
      <c r="CT176" s="269">
        <v>71.472044066947859</v>
      </c>
      <c r="CU176" s="160">
        <v>-7561.6692426584232</v>
      </c>
      <c r="CV176" s="130"/>
      <c r="CW176" s="130"/>
      <c r="CX176" s="130"/>
      <c r="CY176" s="269">
        <v>16.123344133659547</v>
      </c>
      <c r="CZ176" s="125">
        <v>2554.2503863987631</v>
      </c>
      <c r="DA176" s="125">
        <v>54.053964441895481</v>
      </c>
      <c r="DB176" s="273">
        <v>17247.604327666151</v>
      </c>
      <c r="DC176" s="124"/>
      <c r="DD176" s="117">
        <v>26366</v>
      </c>
      <c r="DE176" s="117">
        <v>50191</v>
      </c>
      <c r="DF176" s="117">
        <v>4</v>
      </c>
      <c r="DG176" s="117">
        <v>-23821</v>
      </c>
      <c r="DH176" s="117">
        <v>11263</v>
      </c>
      <c r="DI176" s="117">
        <v>14292</v>
      </c>
      <c r="DJ176" s="136"/>
      <c r="DL176" s="160">
        <v>-266</v>
      </c>
      <c r="DM176" s="160">
        <v>126</v>
      </c>
      <c r="DN176" s="161">
        <v>1594</v>
      </c>
      <c r="DO176" s="116">
        <v>2369</v>
      </c>
      <c r="DP176" s="161">
        <v>0</v>
      </c>
      <c r="DR176" s="161">
        <v>-775</v>
      </c>
      <c r="DS176" s="117">
        <v>-7</v>
      </c>
      <c r="DT176" s="116">
        <v>0</v>
      </c>
      <c r="DU176" s="117">
        <v>0</v>
      </c>
      <c r="DV176" s="117">
        <v>-25</v>
      </c>
      <c r="DW176" s="160">
        <v>-807</v>
      </c>
      <c r="DX176" s="160">
        <v>-664</v>
      </c>
      <c r="DY176" s="116">
        <v>1535</v>
      </c>
      <c r="DZ176" s="150"/>
      <c r="EA176" s="117">
        <v>-867</v>
      </c>
      <c r="EB176" s="116">
        <v>-2219</v>
      </c>
      <c r="EC176" s="159">
        <v>-1324</v>
      </c>
      <c r="EE176" s="125"/>
      <c r="EF176" s="161"/>
      <c r="EG176" s="124"/>
      <c r="EH176" s="253">
        <v>22</v>
      </c>
      <c r="EI176" s="130"/>
      <c r="EJ176" s="125">
        <v>284</v>
      </c>
      <c r="EK176" s="116"/>
      <c r="EL176" s="159"/>
      <c r="EN176" s="116"/>
      <c r="EO176" s="116"/>
      <c r="EP176" s="159"/>
      <c r="EQ176" s="159">
        <v>-5258</v>
      </c>
      <c r="ER176" s="116">
        <v>415</v>
      </c>
      <c r="ES176" s="116">
        <v>3</v>
      </c>
      <c r="ET176" s="160">
        <v>-5082</v>
      </c>
      <c r="EU176" s="116">
        <v>262</v>
      </c>
      <c r="EV176" s="116">
        <v>82</v>
      </c>
      <c r="EW176" s="160">
        <v>-2969</v>
      </c>
      <c r="EX176" s="160">
        <v>1</v>
      </c>
      <c r="EY176" s="160">
        <v>109</v>
      </c>
      <c r="EZ176" s="116">
        <v>5148</v>
      </c>
      <c r="FA176" s="116">
        <v>703</v>
      </c>
      <c r="FB176" s="116">
        <v>7416</v>
      </c>
      <c r="FC176" s="160">
        <v>-1227</v>
      </c>
      <c r="FD176" s="116">
        <v>3816</v>
      </c>
      <c r="FE176" s="116">
        <v>-501</v>
      </c>
      <c r="FF176" s="3">
        <v>23154</v>
      </c>
      <c r="FG176" s="3">
        <v>13486</v>
      </c>
      <c r="FH176" s="3">
        <v>9668</v>
      </c>
      <c r="FI176" s="3">
        <v>18</v>
      </c>
      <c r="FJ176" s="125">
        <v>27425</v>
      </c>
      <c r="FK176" s="160">
        <v>18697</v>
      </c>
      <c r="FL176" s="125">
        <v>8728</v>
      </c>
      <c r="FM176" s="116">
        <v>0</v>
      </c>
      <c r="FN176" s="125">
        <v>28521</v>
      </c>
      <c r="FO176" s="116">
        <v>20384</v>
      </c>
      <c r="FP176" s="116">
        <v>8137</v>
      </c>
      <c r="FQ176" s="116">
        <v>-867</v>
      </c>
      <c r="FR176" s="153">
        <v>317</v>
      </c>
      <c r="FS176" s="153">
        <v>240</v>
      </c>
      <c r="FT176" s="276">
        <v>210</v>
      </c>
      <c r="FU176" s="3">
        <v>816</v>
      </c>
      <c r="FV176" s="159">
        <v>5118</v>
      </c>
      <c r="FW176" s="170"/>
      <c r="FZ176" s="155"/>
      <c r="GA176" s="2"/>
      <c r="GD176" s="163"/>
      <c r="GE176" s="2"/>
      <c r="GF176" s="2"/>
    </row>
    <row r="177" spans="1:188" ht="14.5" x14ac:dyDescent="0.35">
      <c r="A177" s="154">
        <v>445</v>
      </c>
      <c r="B177" s="76" t="s">
        <v>372</v>
      </c>
      <c r="C177" s="158">
        <v>15217</v>
      </c>
      <c r="D177" s="171"/>
      <c r="E177" s="128">
        <v>1.2625424368162956</v>
      </c>
      <c r="F177" s="128">
        <v>49.658532551392405</v>
      </c>
      <c r="G177" s="129">
        <v>-3759.0852336202929</v>
      </c>
      <c r="H177" s="216"/>
      <c r="I177" s="172"/>
      <c r="J177" s="218"/>
      <c r="K177" s="128">
        <v>48.515123862690892</v>
      </c>
      <c r="L177" s="129">
        <v>433.26542682526122</v>
      </c>
      <c r="M177" s="129">
        <v>15.901969206370184</v>
      </c>
      <c r="N177" s="129">
        <v>9944.7985805349272</v>
      </c>
      <c r="O177" s="129"/>
      <c r="P177" s="117">
        <v>50826</v>
      </c>
      <c r="Q177" s="161">
        <v>138492</v>
      </c>
      <c r="R177" s="161">
        <v>-10</v>
      </c>
      <c r="S177" s="161">
        <v>-87676</v>
      </c>
      <c r="T177" s="124">
        <v>65688</v>
      </c>
      <c r="U177" s="124">
        <v>28595</v>
      </c>
      <c r="V177" s="136"/>
      <c r="X177" s="116">
        <v>-1015</v>
      </c>
      <c r="Y177" s="116">
        <v>80</v>
      </c>
      <c r="Z177" s="161">
        <v>5672</v>
      </c>
      <c r="AA177" s="116">
        <v>7314</v>
      </c>
      <c r="AB177" s="117">
        <v>0</v>
      </c>
      <c r="AD177" s="161">
        <v>-1642</v>
      </c>
      <c r="AE177" s="117">
        <v>6</v>
      </c>
      <c r="AF177" s="117">
        <v>0</v>
      </c>
      <c r="AG177" s="116">
        <v>-82</v>
      </c>
      <c r="AH177" s="117">
        <v>22</v>
      </c>
      <c r="AI177" s="160">
        <v>-1696</v>
      </c>
      <c r="AJ177" s="161">
        <v>14393</v>
      </c>
      <c r="AK177" s="161">
        <v>5150</v>
      </c>
      <c r="AL177" s="150"/>
      <c r="AM177" s="161">
        <v>536</v>
      </c>
      <c r="AN177" s="161">
        <v>-4280</v>
      </c>
      <c r="AO177" s="160">
        <v>-934</v>
      </c>
      <c r="AQ177" s="160"/>
      <c r="AR177" s="117"/>
      <c r="AS177" s="117"/>
      <c r="AT177" s="99">
        <v>19.75</v>
      </c>
      <c r="AU177" s="130"/>
      <c r="AV177" s="262">
        <v>188</v>
      </c>
      <c r="AW177" s="267">
        <v>15132</v>
      </c>
      <c r="AX177" s="124"/>
      <c r="AY177" s="255">
        <v>0.59303075930307592</v>
      </c>
      <c r="AZ177" s="259">
        <v>50.967528119525738</v>
      </c>
      <c r="BA177" s="160">
        <v>-3972.9051017710813</v>
      </c>
      <c r="BB177" s="130"/>
      <c r="BC177" s="130"/>
      <c r="BD177" s="130"/>
      <c r="BE177" s="128">
        <v>45.66812511889556</v>
      </c>
      <c r="BF177" s="160">
        <v>362.873380914618</v>
      </c>
      <c r="BG177" s="129">
        <v>15.436220300713297</v>
      </c>
      <c r="BH177" s="131">
        <v>10302.405498281787</v>
      </c>
      <c r="BI177" s="124"/>
      <c r="BJ177" s="117">
        <v>52148</v>
      </c>
      <c r="BK177" s="117">
        <v>145158</v>
      </c>
      <c r="BL177" s="161">
        <v>22</v>
      </c>
      <c r="BM177" s="161">
        <v>-92988</v>
      </c>
      <c r="BN177" s="117">
        <v>67047</v>
      </c>
      <c r="BO177" s="117">
        <v>28656</v>
      </c>
      <c r="BP177" s="136"/>
      <c r="BR177" s="160">
        <v>-961</v>
      </c>
      <c r="BS177" s="160">
        <v>39</v>
      </c>
      <c r="BT177" s="161">
        <v>1793</v>
      </c>
      <c r="BU177" s="125">
        <v>7243</v>
      </c>
      <c r="BV177" s="161">
        <v>0</v>
      </c>
      <c r="BW177" s="117"/>
      <c r="BX177" s="161">
        <v>-5450</v>
      </c>
      <c r="BY177" s="161">
        <v>12</v>
      </c>
      <c r="BZ177" s="161">
        <v>0</v>
      </c>
      <c r="CA177" s="161">
        <v>80</v>
      </c>
      <c r="CB177" s="161">
        <v>47</v>
      </c>
      <c r="CC177" s="160">
        <v>-5471</v>
      </c>
      <c r="CD177" s="160">
        <v>8875</v>
      </c>
      <c r="CE177" s="116">
        <v>1281</v>
      </c>
      <c r="CF177" s="150"/>
      <c r="CG177" s="161">
        <v>-1485</v>
      </c>
      <c r="CH177" s="160">
        <v>-3685</v>
      </c>
      <c r="CI177" s="159">
        <v>-3299</v>
      </c>
      <c r="CK177" s="124"/>
      <c r="CL177" s="161"/>
      <c r="CM177" s="124"/>
      <c r="CN177" s="265">
        <v>19.75</v>
      </c>
      <c r="CO177" s="130"/>
      <c r="CP177" s="116">
        <v>255</v>
      </c>
      <c r="CQ177" s="267">
        <v>15105</v>
      </c>
      <c r="CR177" s="124"/>
      <c r="CS177" s="268">
        <v>1.8399246704331451</v>
      </c>
      <c r="CT177" s="269">
        <v>46.468738817033895</v>
      </c>
      <c r="CU177" s="160">
        <v>-3797.4180734856009</v>
      </c>
      <c r="CV177" s="130"/>
      <c r="CW177" s="130"/>
      <c r="CX177" s="130"/>
      <c r="CY177" s="269">
        <v>47.060270938990882</v>
      </c>
      <c r="CZ177" s="125">
        <v>463.48891095663686</v>
      </c>
      <c r="DA177" s="125">
        <v>16.052598516210494</v>
      </c>
      <c r="DB177" s="273">
        <v>10538.695796094009</v>
      </c>
      <c r="DC177" s="124"/>
      <c r="DD177" s="117">
        <v>52576</v>
      </c>
      <c r="DE177" s="117">
        <v>146825</v>
      </c>
      <c r="DF177" s="117">
        <v>30</v>
      </c>
      <c r="DG177" s="117">
        <v>-94219</v>
      </c>
      <c r="DH177" s="117">
        <v>68710</v>
      </c>
      <c r="DI177" s="117">
        <v>35202</v>
      </c>
      <c r="DJ177" s="136"/>
      <c r="DL177" s="160">
        <v>-955</v>
      </c>
      <c r="DM177" s="160">
        <v>73</v>
      </c>
      <c r="DN177" s="161">
        <v>8811</v>
      </c>
      <c r="DO177" s="116">
        <v>7130</v>
      </c>
      <c r="DP177" s="161">
        <v>-200</v>
      </c>
      <c r="DQ177" s="117"/>
      <c r="DR177" s="161">
        <v>1481</v>
      </c>
      <c r="DS177" s="117">
        <v>4</v>
      </c>
      <c r="DT177" s="117">
        <v>0</v>
      </c>
      <c r="DU177" s="117">
        <v>89</v>
      </c>
      <c r="DV177" s="117">
        <v>49</v>
      </c>
      <c r="DW177" s="160">
        <v>1445</v>
      </c>
      <c r="DX177" s="160">
        <v>10538</v>
      </c>
      <c r="DY177" s="116">
        <v>8491</v>
      </c>
      <c r="DZ177" s="150"/>
      <c r="EA177" s="117">
        <v>1390</v>
      </c>
      <c r="EB177" s="116">
        <v>-4351</v>
      </c>
      <c r="EC177" s="159">
        <v>2578</v>
      </c>
      <c r="EE177" s="125"/>
      <c r="EF177" s="161"/>
      <c r="EG177" s="124"/>
      <c r="EH177" s="253">
        <v>20</v>
      </c>
      <c r="EI177" s="130"/>
      <c r="EJ177" s="125">
        <v>276</v>
      </c>
      <c r="EK177" s="116"/>
      <c r="EL177" s="159"/>
      <c r="EN177" s="116"/>
      <c r="EO177" s="116"/>
      <c r="EP177" s="159"/>
      <c r="EQ177" s="159">
        <v>-7522</v>
      </c>
      <c r="ER177" s="116">
        <v>948</v>
      </c>
      <c r="ES177" s="116">
        <v>490</v>
      </c>
      <c r="ET177" s="160">
        <v>-6071</v>
      </c>
      <c r="EU177" s="116">
        <v>729</v>
      </c>
      <c r="EV177" s="116">
        <v>762</v>
      </c>
      <c r="EW177" s="160">
        <v>-7026</v>
      </c>
      <c r="EX177" s="160">
        <v>469</v>
      </c>
      <c r="EY177" s="160">
        <v>644</v>
      </c>
      <c r="EZ177" s="116">
        <v>1227</v>
      </c>
      <c r="FA177" s="116">
        <v>-170</v>
      </c>
      <c r="FB177" s="116">
        <v>502</v>
      </c>
      <c r="FC177" s="160">
        <v>5902</v>
      </c>
      <c r="FD177" s="116">
        <v>152</v>
      </c>
      <c r="FE177" s="116">
        <v>950</v>
      </c>
      <c r="FF177" s="3">
        <v>51805</v>
      </c>
      <c r="FG177" s="3">
        <v>24247</v>
      </c>
      <c r="FH177" s="3">
        <v>27558</v>
      </c>
      <c r="FI177" s="3">
        <v>35</v>
      </c>
      <c r="FJ177" s="125">
        <v>54669</v>
      </c>
      <c r="FK177" s="160">
        <v>21086</v>
      </c>
      <c r="FL177" s="125">
        <v>33583</v>
      </c>
      <c r="FM177" s="116">
        <v>35</v>
      </c>
      <c r="FN177" s="125">
        <v>51206</v>
      </c>
      <c r="FO177" s="116">
        <v>16832</v>
      </c>
      <c r="FP177" s="116">
        <v>34374</v>
      </c>
      <c r="FQ177" s="116">
        <v>1390</v>
      </c>
      <c r="FR177" s="153">
        <v>9590</v>
      </c>
      <c r="FS177" s="153">
        <v>9190</v>
      </c>
      <c r="FT177" s="276">
        <v>9045</v>
      </c>
      <c r="FU177" s="3">
        <v>8038</v>
      </c>
      <c r="FV177" s="159">
        <v>8956</v>
      </c>
      <c r="FW177" s="170"/>
      <c r="FZ177" s="155"/>
      <c r="GA177" s="2"/>
      <c r="GD177" s="163"/>
      <c r="GE177" s="2"/>
      <c r="GF177" s="2"/>
    </row>
    <row r="178" spans="1:188" ht="14.5" x14ac:dyDescent="0.35">
      <c r="A178" s="72">
        <v>580</v>
      </c>
      <c r="B178" s="70" t="s">
        <v>172</v>
      </c>
      <c r="C178" s="158">
        <v>4842</v>
      </c>
      <c r="D178" s="171"/>
      <c r="E178" s="128">
        <v>4.9050802139037435</v>
      </c>
      <c r="F178" s="128">
        <v>20.307562671160731</v>
      </c>
      <c r="G178" s="129">
        <v>-250.51631557207764</v>
      </c>
      <c r="H178" s="216"/>
      <c r="I178" s="172"/>
      <c r="J178" s="218"/>
      <c r="K178" s="128">
        <v>72.606201612579724</v>
      </c>
      <c r="L178" s="129">
        <v>1541.0987195373814</v>
      </c>
      <c r="M178" s="129">
        <v>43.723592114557249</v>
      </c>
      <c r="N178" s="129">
        <v>12864.931846344487</v>
      </c>
      <c r="O178" s="129"/>
      <c r="P178" s="117">
        <v>29332</v>
      </c>
      <c r="Q178" s="161">
        <v>58140</v>
      </c>
      <c r="R178" s="161">
        <v>9</v>
      </c>
      <c r="S178" s="161">
        <v>-28799</v>
      </c>
      <c r="T178" s="124">
        <v>14841</v>
      </c>
      <c r="U178" s="124">
        <v>17538</v>
      </c>
      <c r="V178" s="136"/>
      <c r="X178" s="116">
        <v>18</v>
      </c>
      <c r="Y178" s="116">
        <v>52</v>
      </c>
      <c r="Z178" s="161">
        <v>3650</v>
      </c>
      <c r="AA178" s="116">
        <v>2165</v>
      </c>
      <c r="AB178" s="117">
        <v>0</v>
      </c>
      <c r="AD178" s="161">
        <v>1485</v>
      </c>
      <c r="AE178" s="117">
        <v>1</v>
      </c>
      <c r="AF178" s="117">
        <v>-269</v>
      </c>
      <c r="AG178" s="116">
        <v>0</v>
      </c>
      <c r="AH178" s="117">
        <v>-1</v>
      </c>
      <c r="AI178" s="160">
        <v>1216</v>
      </c>
      <c r="AJ178" s="161">
        <v>20291</v>
      </c>
      <c r="AK178" s="161">
        <v>1333</v>
      </c>
      <c r="AL178" s="150"/>
      <c r="AM178" s="161">
        <v>-672</v>
      </c>
      <c r="AN178" s="161">
        <v>-729</v>
      </c>
      <c r="AO178" s="160">
        <v>1805</v>
      </c>
      <c r="AQ178" s="160"/>
      <c r="AR178" s="117"/>
      <c r="AS178" s="117"/>
      <c r="AT178" s="99">
        <v>19.5</v>
      </c>
      <c r="AU178" s="130"/>
      <c r="AV178" s="262">
        <v>61</v>
      </c>
      <c r="AW178" s="267">
        <v>4734</v>
      </c>
      <c r="AX178" s="124"/>
      <c r="AY178" s="255">
        <v>0.16076696165191739</v>
      </c>
      <c r="AZ178" s="259">
        <v>19.472441206799054</v>
      </c>
      <c r="BA178" s="160">
        <v>-674.27122940430922</v>
      </c>
      <c r="BB178" s="130"/>
      <c r="BC178" s="130"/>
      <c r="BD178" s="130"/>
      <c r="BE178" s="128">
        <v>71.717318598225972</v>
      </c>
      <c r="BF178" s="160">
        <v>1190.7477820025349</v>
      </c>
      <c r="BG178" s="129">
        <v>42.922228350799777</v>
      </c>
      <c r="BH178" s="131">
        <v>13404.098014364174</v>
      </c>
      <c r="BI178" s="124"/>
      <c r="BJ178" s="117">
        <v>28034</v>
      </c>
      <c r="BK178" s="117">
        <v>60061</v>
      </c>
      <c r="BL178" s="161">
        <v>4</v>
      </c>
      <c r="BM178" s="161">
        <v>-32023</v>
      </c>
      <c r="BN178" s="117">
        <v>15049</v>
      </c>
      <c r="BO178" s="117">
        <v>17043</v>
      </c>
      <c r="BP178" s="136"/>
      <c r="BR178" s="160">
        <v>-16</v>
      </c>
      <c r="BS178" s="160">
        <v>39</v>
      </c>
      <c r="BT178" s="161">
        <v>92</v>
      </c>
      <c r="BU178" s="125">
        <v>1750</v>
      </c>
      <c r="BV178" s="161">
        <v>0</v>
      </c>
      <c r="BW178" s="117"/>
      <c r="BX178" s="161">
        <v>-1658</v>
      </c>
      <c r="BY178" s="161">
        <v>1</v>
      </c>
      <c r="BZ178" s="161">
        <v>5</v>
      </c>
      <c r="CA178" s="161">
        <v>0</v>
      </c>
      <c r="CB178" s="161">
        <v>0</v>
      </c>
      <c r="CC178" s="160">
        <v>-1652</v>
      </c>
      <c r="CD178" s="160">
        <v>18614</v>
      </c>
      <c r="CE178" s="116">
        <v>130</v>
      </c>
      <c r="CF178" s="150"/>
      <c r="CG178" s="160">
        <v>978</v>
      </c>
      <c r="CH178" s="160">
        <v>-661</v>
      </c>
      <c r="CI178" s="159">
        <v>-1983</v>
      </c>
      <c r="CK178" s="124"/>
      <c r="CL178" s="161"/>
      <c r="CM178" s="124"/>
      <c r="CN178" s="265">
        <v>19.5</v>
      </c>
      <c r="CO178" s="130"/>
      <c r="CP178" s="116">
        <v>273</v>
      </c>
      <c r="CQ178" s="267">
        <v>4655</v>
      </c>
      <c r="CR178" s="124"/>
      <c r="CS178" s="268">
        <v>1.5065359477124183</v>
      </c>
      <c r="CT178" s="269">
        <v>19.973478939157566</v>
      </c>
      <c r="CU178" s="160">
        <v>-801.5037593984963</v>
      </c>
      <c r="CV178" s="130"/>
      <c r="CW178" s="130"/>
      <c r="CX178" s="130"/>
      <c r="CY178" s="269">
        <v>68.710891212606285</v>
      </c>
      <c r="CZ178" s="125">
        <v>1374.0064446831364</v>
      </c>
      <c r="DA178" s="125">
        <v>35.651629455422864</v>
      </c>
      <c r="DB178" s="273">
        <v>14067.024704618689</v>
      </c>
      <c r="DC178" s="124"/>
      <c r="DD178" s="117">
        <v>29285</v>
      </c>
      <c r="DE178" s="117">
        <v>63108</v>
      </c>
      <c r="DF178" s="117">
        <v>18</v>
      </c>
      <c r="DG178" s="117">
        <v>-33805</v>
      </c>
      <c r="DH178" s="117">
        <v>15653</v>
      </c>
      <c r="DI178" s="117">
        <v>19162</v>
      </c>
      <c r="DJ178" s="136"/>
      <c r="DL178" s="160">
        <v>-13</v>
      </c>
      <c r="DM178" s="160">
        <v>-88</v>
      </c>
      <c r="DN178" s="161">
        <v>909</v>
      </c>
      <c r="DO178" s="116">
        <v>2382</v>
      </c>
      <c r="DP178" s="161">
        <v>0</v>
      </c>
      <c r="DQ178" s="117"/>
      <c r="DR178" s="161">
        <v>-1473</v>
      </c>
      <c r="DS178" s="117">
        <v>0</v>
      </c>
      <c r="DT178" s="117">
        <v>0</v>
      </c>
      <c r="DU178" s="117">
        <v>0</v>
      </c>
      <c r="DV178" s="117">
        <v>0</v>
      </c>
      <c r="DW178" s="160">
        <v>-1473</v>
      </c>
      <c r="DX178" s="160">
        <v>17146</v>
      </c>
      <c r="DY178" s="116">
        <v>907</v>
      </c>
      <c r="DZ178" s="150"/>
      <c r="EA178" s="116">
        <v>203</v>
      </c>
      <c r="EB178" s="116">
        <v>-599</v>
      </c>
      <c r="EC178" s="159">
        <v>-505</v>
      </c>
      <c r="EE178" s="125"/>
      <c r="EF178" s="161"/>
      <c r="EG178" s="124"/>
      <c r="EH178" s="253">
        <v>20.5</v>
      </c>
      <c r="EI178" s="130"/>
      <c r="EJ178" s="125">
        <v>292</v>
      </c>
      <c r="EK178" s="116"/>
      <c r="EL178" s="159"/>
      <c r="EN178" s="116"/>
      <c r="EO178" s="116"/>
      <c r="EP178" s="159"/>
      <c r="EQ178" s="159">
        <v>-3401</v>
      </c>
      <c r="ER178" s="116">
        <v>184</v>
      </c>
      <c r="ES178" s="116">
        <v>3689</v>
      </c>
      <c r="ET178" s="160">
        <v>-2711</v>
      </c>
      <c r="EU178" s="116">
        <v>96</v>
      </c>
      <c r="EV178" s="116">
        <v>502</v>
      </c>
      <c r="EW178" s="160">
        <v>-1628</v>
      </c>
      <c r="EX178" s="160">
        <v>94</v>
      </c>
      <c r="EY178" s="160">
        <v>122</v>
      </c>
      <c r="EZ178" s="116">
        <v>1231</v>
      </c>
      <c r="FA178" s="116">
        <v>0</v>
      </c>
      <c r="FB178" s="116">
        <v>0</v>
      </c>
      <c r="FC178" s="160">
        <v>15</v>
      </c>
      <c r="FD178" s="116">
        <v>243</v>
      </c>
      <c r="FE178" s="116">
        <v>485</v>
      </c>
      <c r="FF178" s="3">
        <v>4775</v>
      </c>
      <c r="FG178" s="3">
        <v>4114</v>
      </c>
      <c r="FH178" s="3">
        <v>661</v>
      </c>
      <c r="FI178" s="3">
        <v>539</v>
      </c>
      <c r="FJ178" s="125">
        <v>4113</v>
      </c>
      <c r="FK178" s="160">
        <v>3514</v>
      </c>
      <c r="FL178" s="125">
        <v>599</v>
      </c>
      <c r="FM178" s="116">
        <v>539</v>
      </c>
      <c r="FN178" s="125">
        <v>4242</v>
      </c>
      <c r="FO178" s="116">
        <v>3258</v>
      </c>
      <c r="FP178" s="116">
        <v>984</v>
      </c>
      <c r="FQ178" s="116">
        <v>203</v>
      </c>
      <c r="FR178" s="153">
        <v>0</v>
      </c>
      <c r="FS178" s="153">
        <v>88</v>
      </c>
      <c r="FT178" s="276">
        <v>70</v>
      </c>
      <c r="FU178" s="3">
        <v>6314</v>
      </c>
      <c r="FV178" s="159">
        <v>5856</v>
      </c>
      <c r="FW178" s="170"/>
      <c r="FZ178" s="155"/>
      <c r="GA178" s="2"/>
      <c r="GD178" s="163"/>
      <c r="GE178" s="2"/>
      <c r="GF178" s="2"/>
    </row>
    <row r="179" spans="1:188" ht="14.5" x14ac:dyDescent="0.35">
      <c r="A179" s="72">
        <v>581</v>
      </c>
      <c r="B179" s="70" t="s">
        <v>173</v>
      </c>
      <c r="C179" s="158">
        <v>6469</v>
      </c>
      <c r="D179" s="171"/>
      <c r="E179" s="128">
        <v>2.174956369982548</v>
      </c>
      <c r="F179" s="128">
        <v>43.834234324007873</v>
      </c>
      <c r="G179" s="129">
        <v>-3966.7645694852372</v>
      </c>
      <c r="H179" s="216"/>
      <c r="I179" s="172"/>
      <c r="J179" s="218"/>
      <c r="K179" s="128">
        <v>41.55235970699448</v>
      </c>
      <c r="L179" s="129">
        <v>569.48523728551561</v>
      </c>
      <c r="M179" s="129">
        <v>16.159642354977105</v>
      </c>
      <c r="N179" s="129">
        <v>12863.039109599629</v>
      </c>
      <c r="O179" s="129"/>
      <c r="P179" s="117">
        <v>37511</v>
      </c>
      <c r="Q179" s="161">
        <v>75475</v>
      </c>
      <c r="R179" s="161">
        <v>122</v>
      </c>
      <c r="S179" s="161">
        <v>-37842</v>
      </c>
      <c r="T179" s="124">
        <v>22125</v>
      </c>
      <c r="U179" s="124">
        <v>20646</v>
      </c>
      <c r="V179" s="136"/>
      <c r="X179" s="116">
        <v>-299</v>
      </c>
      <c r="Y179" s="116">
        <v>51</v>
      </c>
      <c r="Z179" s="161">
        <v>4681</v>
      </c>
      <c r="AA179" s="116">
        <v>3138</v>
      </c>
      <c r="AB179" s="116">
        <v>0</v>
      </c>
      <c r="AD179" s="161">
        <v>1543</v>
      </c>
      <c r="AE179" s="116">
        <v>-61</v>
      </c>
      <c r="AF179" s="116">
        <v>0</v>
      </c>
      <c r="AG179" s="116">
        <v>-39</v>
      </c>
      <c r="AH179" s="116">
        <v>0</v>
      </c>
      <c r="AI179" s="160">
        <v>1443</v>
      </c>
      <c r="AJ179" s="161">
        <v>12190</v>
      </c>
      <c r="AK179" s="161">
        <v>3428</v>
      </c>
      <c r="AL179" s="150"/>
      <c r="AM179" s="161">
        <v>266</v>
      </c>
      <c r="AN179" s="161">
        <v>-1988</v>
      </c>
      <c r="AO179" s="160">
        <v>177</v>
      </c>
      <c r="AQ179" s="160"/>
      <c r="AR179" s="117"/>
      <c r="AS179" s="117"/>
      <c r="AT179" s="99">
        <v>22</v>
      </c>
      <c r="AU179" s="130"/>
      <c r="AV179" s="262">
        <v>72</v>
      </c>
      <c r="AW179" s="267">
        <v>6404</v>
      </c>
      <c r="AX179" s="124"/>
      <c r="AY179" s="255">
        <v>8.016091954022988</v>
      </c>
      <c r="AZ179" s="259">
        <v>48.909287126071618</v>
      </c>
      <c r="BA179" s="160">
        <v>-4588.694565896315</v>
      </c>
      <c r="BB179" s="130"/>
      <c r="BC179" s="130"/>
      <c r="BD179" s="130"/>
      <c r="BE179" s="128">
        <v>38.923859364634772</v>
      </c>
      <c r="BF179" s="160">
        <v>855.55902560899438</v>
      </c>
      <c r="BG179" s="129">
        <v>15.481308357415061</v>
      </c>
      <c r="BH179" s="131">
        <v>13562.929419113054</v>
      </c>
      <c r="BI179" s="124"/>
      <c r="BJ179" s="117">
        <v>38657</v>
      </c>
      <c r="BK179" s="117">
        <v>78765</v>
      </c>
      <c r="BL179" s="161">
        <v>33</v>
      </c>
      <c r="BM179" s="161">
        <v>-40075</v>
      </c>
      <c r="BN179" s="117">
        <v>23029</v>
      </c>
      <c r="BO179" s="117">
        <v>20783</v>
      </c>
      <c r="BP179" s="136"/>
      <c r="BR179" s="160">
        <v>-308</v>
      </c>
      <c r="BS179" s="160">
        <v>-256</v>
      </c>
      <c r="BT179" s="161">
        <v>3173</v>
      </c>
      <c r="BU179" s="125">
        <v>3472</v>
      </c>
      <c r="BV179" s="160">
        <v>0</v>
      </c>
      <c r="BX179" s="161">
        <v>-299</v>
      </c>
      <c r="BY179" s="160">
        <v>-17</v>
      </c>
      <c r="BZ179" s="160">
        <v>0</v>
      </c>
      <c r="CA179" s="160">
        <v>41</v>
      </c>
      <c r="CB179" s="160">
        <v>-10</v>
      </c>
      <c r="CC179" s="160">
        <v>-367</v>
      </c>
      <c r="CD179" s="160">
        <v>11754</v>
      </c>
      <c r="CE179" s="116">
        <v>2020</v>
      </c>
      <c r="CF179" s="150"/>
      <c r="CG179" s="160">
        <v>349</v>
      </c>
      <c r="CH179" s="160">
        <v>-121</v>
      </c>
      <c r="CI179" s="159">
        <v>-3534</v>
      </c>
      <c r="CK179" s="124"/>
      <c r="CL179" s="161"/>
      <c r="CM179" s="124"/>
      <c r="CN179" s="265">
        <v>22</v>
      </c>
      <c r="CO179" s="130"/>
      <c r="CP179" s="116">
        <v>121</v>
      </c>
      <c r="CQ179" s="267">
        <v>6352</v>
      </c>
      <c r="CR179" s="124"/>
      <c r="CS179" s="268">
        <v>2.2686041391457508</v>
      </c>
      <c r="CT179" s="269">
        <v>50.77592776481999</v>
      </c>
      <c r="CU179" s="160">
        <v>-4708.4382871536518</v>
      </c>
      <c r="CV179" s="130"/>
      <c r="CW179" s="130"/>
      <c r="CX179" s="130"/>
      <c r="CY179" s="269">
        <v>37.640681893412776</v>
      </c>
      <c r="CZ179" s="125">
        <v>1169.7103274559192</v>
      </c>
      <c r="DA179" s="125">
        <v>29.687465790914068</v>
      </c>
      <c r="DB179" s="273">
        <v>14381.297229219143</v>
      </c>
      <c r="DC179" s="124"/>
      <c r="DD179" s="117">
        <v>41215</v>
      </c>
      <c r="DE179" s="117">
        <v>80998</v>
      </c>
      <c r="DF179" s="117">
        <v>-115</v>
      </c>
      <c r="DG179" s="117">
        <v>-39898</v>
      </c>
      <c r="DH179" s="117">
        <v>23759</v>
      </c>
      <c r="DI179" s="117">
        <v>21632</v>
      </c>
      <c r="DJ179" s="136"/>
      <c r="DL179" s="160">
        <v>-325</v>
      </c>
      <c r="DM179" s="160">
        <v>-346</v>
      </c>
      <c r="DN179" s="161">
        <v>4822</v>
      </c>
      <c r="DO179" s="116">
        <v>3873</v>
      </c>
      <c r="DP179" s="160">
        <v>0</v>
      </c>
      <c r="DR179" s="161">
        <v>949</v>
      </c>
      <c r="DS179" s="116">
        <v>-298</v>
      </c>
      <c r="DT179" s="116">
        <v>0</v>
      </c>
      <c r="DU179" s="116">
        <v>96</v>
      </c>
      <c r="DV179" s="116">
        <v>-10</v>
      </c>
      <c r="DW179" s="160">
        <v>545</v>
      </c>
      <c r="DX179" s="160">
        <v>12284</v>
      </c>
      <c r="DY179" s="116">
        <v>4791</v>
      </c>
      <c r="DZ179" s="150"/>
      <c r="EA179" s="116">
        <v>-1150</v>
      </c>
      <c r="EB179" s="116">
        <v>-1941</v>
      </c>
      <c r="EC179" s="159">
        <v>-292</v>
      </c>
      <c r="EE179" s="125"/>
      <c r="EF179" s="161"/>
      <c r="EG179" s="124"/>
      <c r="EH179" s="253">
        <v>22</v>
      </c>
      <c r="EI179" s="130"/>
      <c r="EJ179" s="125">
        <v>237</v>
      </c>
      <c r="EK179" s="116"/>
      <c r="EL179" s="159"/>
      <c r="EN179" s="116"/>
      <c r="EO179" s="116"/>
      <c r="EP179" s="159"/>
      <c r="EQ179" s="159">
        <v>-4710</v>
      </c>
      <c r="ER179" s="116">
        <v>184</v>
      </c>
      <c r="ES179" s="116">
        <v>1275</v>
      </c>
      <c r="ET179" s="160">
        <v>-7146</v>
      </c>
      <c r="EU179" s="116">
        <v>287</v>
      </c>
      <c r="EV179" s="116">
        <v>1305</v>
      </c>
      <c r="EW179" s="160">
        <v>-7450</v>
      </c>
      <c r="EX179" s="160">
        <v>1680</v>
      </c>
      <c r="EY179" s="160">
        <v>687</v>
      </c>
      <c r="EZ179" s="116">
        <v>1702</v>
      </c>
      <c r="FA179" s="116">
        <v>-466</v>
      </c>
      <c r="FB179" s="116">
        <v>1104</v>
      </c>
      <c r="FC179" s="160">
        <v>4214</v>
      </c>
      <c r="FD179" s="116">
        <v>6790</v>
      </c>
      <c r="FE179" s="116">
        <v>-2704</v>
      </c>
      <c r="FF179" s="3">
        <v>27450</v>
      </c>
      <c r="FG179" s="3">
        <v>25261</v>
      </c>
      <c r="FH179" s="3">
        <v>2189</v>
      </c>
      <c r="FI179" s="3">
        <v>20</v>
      </c>
      <c r="FJ179" s="125">
        <v>32647</v>
      </c>
      <c r="FK179" s="160">
        <v>26244</v>
      </c>
      <c r="FL179" s="125">
        <v>6403</v>
      </c>
      <c r="FM179" s="116">
        <v>18</v>
      </c>
      <c r="FN179" s="125">
        <v>35225</v>
      </c>
      <c r="FO179" s="116">
        <v>30891</v>
      </c>
      <c r="FP179" s="116">
        <v>4334</v>
      </c>
      <c r="FQ179" s="116">
        <v>-1150</v>
      </c>
      <c r="FR179" s="153">
        <v>514</v>
      </c>
      <c r="FS179" s="153">
        <v>473</v>
      </c>
      <c r="FT179" s="276">
        <v>2932</v>
      </c>
      <c r="FU179" s="3">
        <v>17242</v>
      </c>
      <c r="FV179" s="159">
        <v>14732</v>
      </c>
      <c r="FW179" s="170"/>
      <c r="FZ179" s="155"/>
      <c r="GA179" s="2"/>
      <c r="GD179" s="163"/>
      <c r="GE179" s="2"/>
      <c r="GF179" s="2"/>
    </row>
    <row r="180" spans="1:188" ht="14.5" x14ac:dyDescent="0.35">
      <c r="A180" s="72">
        <v>599</v>
      </c>
      <c r="B180" s="70" t="s">
        <v>314</v>
      </c>
      <c r="C180" s="158">
        <v>11016</v>
      </c>
      <c r="D180" s="171"/>
      <c r="E180" s="128">
        <v>2.1757451181911613</v>
      </c>
      <c r="F180" s="128">
        <v>64.074451233310697</v>
      </c>
      <c r="G180" s="129">
        <v>-4102.4872912127812</v>
      </c>
      <c r="H180" s="216"/>
      <c r="I180" s="172"/>
      <c r="J180" s="218"/>
      <c r="K180" s="128">
        <v>39.563859663830321</v>
      </c>
      <c r="L180" s="129">
        <v>531.40885984023237</v>
      </c>
      <c r="M180" s="129">
        <v>22.406539360954689</v>
      </c>
      <c r="N180" s="129">
        <v>8656.5904139433551</v>
      </c>
      <c r="O180" s="129"/>
      <c r="P180" s="117">
        <v>28447</v>
      </c>
      <c r="Q180" s="161">
        <v>86332</v>
      </c>
      <c r="R180" s="161">
        <v>53</v>
      </c>
      <c r="S180" s="161">
        <v>-57832</v>
      </c>
      <c r="T180" s="124">
        <v>34205</v>
      </c>
      <c r="U180" s="124">
        <v>25728</v>
      </c>
      <c r="V180" s="136"/>
      <c r="X180" s="116">
        <v>-80</v>
      </c>
      <c r="Y180" s="116">
        <v>-1</v>
      </c>
      <c r="Z180" s="161">
        <v>2020</v>
      </c>
      <c r="AA180" s="116">
        <v>3522</v>
      </c>
      <c r="AB180" s="116">
        <v>-42</v>
      </c>
      <c r="AD180" s="161">
        <v>-1544</v>
      </c>
      <c r="AE180" s="117">
        <v>-1</v>
      </c>
      <c r="AF180" s="117">
        <v>66</v>
      </c>
      <c r="AG180" s="116">
        <v>-78</v>
      </c>
      <c r="AH180" s="117">
        <v>-3</v>
      </c>
      <c r="AI180" s="160">
        <v>-1560</v>
      </c>
      <c r="AJ180" s="161">
        <v>12490</v>
      </c>
      <c r="AK180" s="161">
        <v>1678</v>
      </c>
      <c r="AL180" s="150"/>
      <c r="AM180" s="161">
        <v>-172</v>
      </c>
      <c r="AN180" s="161">
        <v>-876</v>
      </c>
      <c r="AO180" s="160">
        <v>-5715</v>
      </c>
      <c r="AQ180" s="160"/>
      <c r="AR180" s="117"/>
      <c r="AS180" s="117"/>
      <c r="AT180" s="99">
        <v>20.5</v>
      </c>
      <c r="AU180" s="130"/>
      <c r="AV180" s="262">
        <v>254</v>
      </c>
      <c r="AW180" s="267">
        <v>11081</v>
      </c>
      <c r="AX180" s="124"/>
      <c r="AY180" s="255">
        <v>0.44014401440144013</v>
      </c>
      <c r="AZ180" s="259">
        <v>69.85308671842354</v>
      </c>
      <c r="BA180" s="160">
        <v>-4768.2519628192404</v>
      </c>
      <c r="BB180" s="130"/>
      <c r="BC180" s="130"/>
      <c r="BD180" s="130"/>
      <c r="BE180" s="128">
        <v>35.580149231308525</v>
      </c>
      <c r="BF180" s="160">
        <v>467.73756881147909</v>
      </c>
      <c r="BG180" s="129">
        <v>21.25529713705907</v>
      </c>
      <c r="BH180" s="131">
        <v>9071.9249165237779</v>
      </c>
      <c r="BI180" s="124"/>
      <c r="BJ180" s="117">
        <v>28971</v>
      </c>
      <c r="BK180" s="117">
        <v>90557</v>
      </c>
      <c r="BL180" s="161">
        <v>45</v>
      </c>
      <c r="BM180" s="161">
        <v>-61541</v>
      </c>
      <c r="BN180" s="117">
        <v>35430</v>
      </c>
      <c r="BO180" s="117">
        <v>26537</v>
      </c>
      <c r="BP180" s="136"/>
      <c r="BR180" s="160">
        <v>-128</v>
      </c>
      <c r="BS180" s="160">
        <v>46</v>
      </c>
      <c r="BT180" s="161">
        <v>344</v>
      </c>
      <c r="BU180" s="125">
        <v>3859</v>
      </c>
      <c r="BV180" s="160">
        <v>0</v>
      </c>
      <c r="BX180" s="161">
        <v>-3515</v>
      </c>
      <c r="BY180" s="161">
        <v>-1</v>
      </c>
      <c r="BZ180" s="161">
        <v>-160</v>
      </c>
      <c r="CA180" s="161">
        <v>37</v>
      </c>
      <c r="CB180" s="161">
        <v>-1</v>
      </c>
      <c r="CC180" s="160">
        <v>-3714</v>
      </c>
      <c r="CD180" s="160">
        <v>10022</v>
      </c>
      <c r="CE180" s="116">
        <v>63</v>
      </c>
      <c r="CF180" s="150"/>
      <c r="CG180" s="161">
        <v>79</v>
      </c>
      <c r="CH180" s="160">
        <v>-966</v>
      </c>
      <c r="CI180" s="159">
        <v>-8236</v>
      </c>
      <c r="CK180" s="124"/>
      <c r="CL180" s="161"/>
      <c r="CM180" s="124"/>
      <c r="CN180" s="265">
        <v>20.5</v>
      </c>
      <c r="CO180" s="130"/>
      <c r="CP180" s="116">
        <v>272</v>
      </c>
      <c r="CQ180" s="267">
        <v>11174</v>
      </c>
      <c r="CR180" s="124"/>
      <c r="CS180" s="268">
        <v>8.523946360153257</v>
      </c>
      <c r="CT180" s="269">
        <v>68.803523868059827</v>
      </c>
      <c r="CU180" s="160">
        <v>-4443.3506354036153</v>
      </c>
      <c r="CV180" s="130"/>
      <c r="CW180" s="130"/>
      <c r="CX180" s="130"/>
      <c r="CY180" s="269">
        <v>36.416028141869454</v>
      </c>
      <c r="CZ180" s="125">
        <v>1165.5629139072848</v>
      </c>
      <c r="DA180" s="125">
        <v>49.528651802458846</v>
      </c>
      <c r="DB180" s="273">
        <v>8589.5829604438877</v>
      </c>
      <c r="DC180" s="124"/>
      <c r="DD180" s="117">
        <v>28505</v>
      </c>
      <c r="DE180" s="117">
        <v>89060</v>
      </c>
      <c r="DF180" s="117">
        <v>38</v>
      </c>
      <c r="DG180" s="117">
        <v>-60517</v>
      </c>
      <c r="DH180" s="117">
        <v>37996</v>
      </c>
      <c r="DI180" s="117">
        <v>31119</v>
      </c>
      <c r="DJ180" s="136"/>
      <c r="DL180" s="160">
        <v>29</v>
      </c>
      <c r="DM180" s="160">
        <v>73</v>
      </c>
      <c r="DN180" s="161">
        <v>8700</v>
      </c>
      <c r="DO180" s="116">
        <v>4205</v>
      </c>
      <c r="DP180" s="160">
        <v>60</v>
      </c>
      <c r="DR180" s="161">
        <v>4555</v>
      </c>
      <c r="DS180" s="117">
        <v>-1</v>
      </c>
      <c r="DT180" s="117">
        <v>-193</v>
      </c>
      <c r="DU180" s="117">
        <v>16</v>
      </c>
      <c r="DV180" s="117">
        <v>3</v>
      </c>
      <c r="DW180" s="160">
        <v>4348</v>
      </c>
      <c r="DX180" s="160">
        <v>13252</v>
      </c>
      <c r="DY180" s="116">
        <v>8477</v>
      </c>
      <c r="DZ180" s="150"/>
      <c r="EA180" s="117">
        <v>1013</v>
      </c>
      <c r="EB180" s="116">
        <v>-845</v>
      </c>
      <c r="EC180" s="159">
        <v>2899</v>
      </c>
      <c r="EE180" s="125"/>
      <c r="EF180" s="161"/>
      <c r="EG180" s="124"/>
      <c r="EH180" s="253">
        <v>21</v>
      </c>
      <c r="EI180" s="130"/>
      <c r="EJ180" s="125">
        <v>230</v>
      </c>
      <c r="EK180" s="116"/>
      <c r="EL180" s="159"/>
      <c r="EN180" s="116"/>
      <c r="EO180" s="116"/>
      <c r="EP180" s="159"/>
      <c r="EQ180" s="159">
        <v>-7837</v>
      </c>
      <c r="ER180" s="116">
        <v>114</v>
      </c>
      <c r="ES180" s="116">
        <v>330</v>
      </c>
      <c r="ET180" s="160">
        <v>-8723</v>
      </c>
      <c r="EU180" s="116">
        <v>135</v>
      </c>
      <c r="EV180" s="116">
        <v>289</v>
      </c>
      <c r="EW180" s="160">
        <v>-5773</v>
      </c>
      <c r="EX180" s="160">
        <v>31</v>
      </c>
      <c r="EY180" s="160">
        <v>164</v>
      </c>
      <c r="EZ180" s="116">
        <v>1095</v>
      </c>
      <c r="FA180" s="116">
        <v>3711</v>
      </c>
      <c r="FB180" s="116">
        <v>1868</v>
      </c>
      <c r="FC180" s="160">
        <v>5959</v>
      </c>
      <c r="FD180" s="116">
        <v>22821</v>
      </c>
      <c r="FE180" s="116">
        <v>-18608</v>
      </c>
      <c r="FF180" s="3">
        <v>41331</v>
      </c>
      <c r="FG180" s="3">
        <v>9801</v>
      </c>
      <c r="FH180" s="3">
        <v>31530</v>
      </c>
      <c r="FI180" s="3">
        <v>307</v>
      </c>
      <c r="FJ180" s="125">
        <v>47672</v>
      </c>
      <c r="FK180" s="160">
        <v>11247</v>
      </c>
      <c r="FL180" s="125">
        <v>36425</v>
      </c>
      <c r="FM180" s="116">
        <v>307</v>
      </c>
      <c r="FN180" s="125">
        <v>50881</v>
      </c>
      <c r="FO180" s="116">
        <v>33213</v>
      </c>
      <c r="FP180" s="116">
        <v>17668</v>
      </c>
      <c r="FQ180" s="116">
        <v>1013</v>
      </c>
      <c r="FR180" s="153">
        <v>1741</v>
      </c>
      <c r="FS180" s="153">
        <v>543</v>
      </c>
      <c r="FT180" s="276">
        <v>435</v>
      </c>
      <c r="FU180" s="3">
        <v>599</v>
      </c>
      <c r="FV180" s="159">
        <v>634</v>
      </c>
      <c r="FW180" s="170"/>
      <c r="FZ180" s="155"/>
      <c r="GA180" s="2"/>
      <c r="GD180" s="163"/>
      <c r="GE180" s="2"/>
      <c r="GF180" s="2"/>
    </row>
    <row r="181" spans="1:188" ht="14.5" x14ac:dyDescent="0.35">
      <c r="A181" s="72">
        <v>583</v>
      </c>
      <c r="B181" s="70" t="s">
        <v>174</v>
      </c>
      <c r="C181" s="158">
        <v>954</v>
      </c>
      <c r="D181" s="171"/>
      <c r="E181" s="128">
        <v>1.0543130990415335</v>
      </c>
      <c r="F181" s="128">
        <v>38.683955068645126</v>
      </c>
      <c r="G181" s="129">
        <v>-3365.8280922431863</v>
      </c>
      <c r="H181" s="216"/>
      <c r="I181" s="172"/>
      <c r="J181" s="218"/>
      <c r="K181" s="128">
        <v>54.599162428956028</v>
      </c>
      <c r="L181" s="129">
        <v>1678.1970649895179</v>
      </c>
      <c r="M181" s="129">
        <v>39.282401183113741</v>
      </c>
      <c r="N181" s="129">
        <v>15593.291404612159</v>
      </c>
      <c r="O181" s="129"/>
      <c r="P181" s="117">
        <v>5475</v>
      </c>
      <c r="Q181" s="161">
        <v>13836</v>
      </c>
      <c r="R181" s="161">
        <v>-3</v>
      </c>
      <c r="S181" s="161">
        <v>-8364</v>
      </c>
      <c r="T181" s="124">
        <v>4986</v>
      </c>
      <c r="U181" s="124">
        <v>3961</v>
      </c>
      <c r="V181" s="136"/>
      <c r="X181" s="116">
        <v>-24</v>
      </c>
      <c r="Y181" s="116">
        <v>74</v>
      </c>
      <c r="Z181" s="161">
        <v>633</v>
      </c>
      <c r="AA181" s="116">
        <v>513</v>
      </c>
      <c r="AB181" s="116">
        <v>0</v>
      </c>
      <c r="AD181" s="161">
        <v>120</v>
      </c>
      <c r="AE181" s="116">
        <v>4</v>
      </c>
      <c r="AF181" s="116">
        <v>-53</v>
      </c>
      <c r="AG181" s="116">
        <v>0</v>
      </c>
      <c r="AH181" s="116">
        <v>-1</v>
      </c>
      <c r="AI181" s="160">
        <v>70</v>
      </c>
      <c r="AJ181" s="161">
        <v>2588</v>
      </c>
      <c r="AK181" s="161">
        <v>651</v>
      </c>
      <c r="AL181" s="150"/>
      <c r="AM181" s="161">
        <v>341</v>
      </c>
      <c r="AN181" s="161">
        <v>-599</v>
      </c>
      <c r="AO181" s="160">
        <v>251</v>
      </c>
      <c r="AQ181" s="160"/>
      <c r="AR181" s="117"/>
      <c r="AS181" s="117"/>
      <c r="AT181" s="99">
        <v>22.25</v>
      </c>
      <c r="AU181" s="130"/>
      <c r="AV181" s="262">
        <v>87</v>
      </c>
      <c r="AW181" s="267">
        <v>939</v>
      </c>
      <c r="AX181" s="124"/>
      <c r="AY181" s="255">
        <v>3.316749585406302E-2</v>
      </c>
      <c r="AZ181" s="259">
        <v>39.634513689001942</v>
      </c>
      <c r="BA181" s="160">
        <v>-3992.5452609158679</v>
      </c>
      <c r="BB181" s="130"/>
      <c r="BC181" s="130"/>
      <c r="BD181" s="130"/>
      <c r="BE181" s="128">
        <v>51.845698186809216</v>
      </c>
      <c r="BF181" s="160">
        <v>1497.3375931842386</v>
      </c>
      <c r="BG181" s="129">
        <v>34.813710879284649</v>
      </c>
      <c r="BH181" s="131">
        <v>17864.749733759319</v>
      </c>
      <c r="BI181" s="124"/>
      <c r="BJ181" s="117">
        <v>5602</v>
      </c>
      <c r="BK181" s="117">
        <v>15099</v>
      </c>
      <c r="BL181" s="161">
        <v>77</v>
      </c>
      <c r="BM181" s="161">
        <v>-9420</v>
      </c>
      <c r="BN181" s="117">
        <v>5153</v>
      </c>
      <c r="BO181" s="117">
        <v>4184</v>
      </c>
      <c r="BP181" s="136"/>
      <c r="BR181" s="160">
        <v>4</v>
      </c>
      <c r="BS181" s="160">
        <v>75</v>
      </c>
      <c r="BT181" s="161">
        <v>-4</v>
      </c>
      <c r="BU181" s="125">
        <v>492</v>
      </c>
      <c r="BV181" s="160">
        <v>0</v>
      </c>
      <c r="BX181" s="161">
        <v>-496</v>
      </c>
      <c r="BY181" s="160">
        <v>11</v>
      </c>
      <c r="BZ181" s="160">
        <v>0</v>
      </c>
      <c r="CA181" s="160">
        <v>0</v>
      </c>
      <c r="CB181" s="160">
        <v>4</v>
      </c>
      <c r="CC181" s="160">
        <v>-481</v>
      </c>
      <c r="CD181" s="160">
        <v>2146</v>
      </c>
      <c r="CE181" s="116">
        <v>393</v>
      </c>
      <c r="CF181" s="150"/>
      <c r="CG181" s="160">
        <v>54</v>
      </c>
      <c r="CH181" s="160">
        <v>-579</v>
      </c>
      <c r="CI181" s="159">
        <v>-650</v>
      </c>
      <c r="CK181" s="124"/>
      <c r="CL181" s="161"/>
      <c r="CM181" s="124"/>
      <c r="CN181" s="265">
        <v>22.25</v>
      </c>
      <c r="CO181" s="130"/>
      <c r="CP181" s="116">
        <v>275</v>
      </c>
      <c r="CQ181" s="267">
        <v>931</v>
      </c>
      <c r="CR181" s="124"/>
      <c r="CS181" s="268">
        <v>1.5451713395638629</v>
      </c>
      <c r="CT181" s="269">
        <v>56.296014216806299</v>
      </c>
      <c r="CU181" s="160">
        <v>-5440.3866809881847</v>
      </c>
      <c r="CV181" s="130"/>
      <c r="CW181" s="130"/>
      <c r="CX181" s="130"/>
      <c r="CY181" s="269">
        <v>45.310841099445561</v>
      </c>
      <c r="CZ181" s="125">
        <v>2987.1106337271749</v>
      </c>
      <c r="DA181" s="125">
        <v>57.818694463431299</v>
      </c>
      <c r="DB181" s="273">
        <v>18857.142857142859</v>
      </c>
      <c r="DC181" s="124"/>
      <c r="DD181" s="117">
        <v>5791</v>
      </c>
      <c r="DE181" s="117">
        <v>14848</v>
      </c>
      <c r="DF181" s="117">
        <v>36</v>
      </c>
      <c r="DG181" s="117">
        <v>-9021</v>
      </c>
      <c r="DH181" s="117">
        <v>5108</v>
      </c>
      <c r="DI181" s="117">
        <v>4857</v>
      </c>
      <c r="DJ181" s="136"/>
      <c r="DL181" s="160">
        <v>-1</v>
      </c>
      <c r="DM181" s="160">
        <v>23</v>
      </c>
      <c r="DN181" s="161">
        <v>966</v>
      </c>
      <c r="DO181" s="116">
        <v>502</v>
      </c>
      <c r="DP181" s="160">
        <v>-7</v>
      </c>
      <c r="DR181" s="161">
        <v>457</v>
      </c>
      <c r="DS181" s="116">
        <v>6</v>
      </c>
      <c r="DT181" s="116">
        <v>0</v>
      </c>
      <c r="DU181" s="116">
        <v>0</v>
      </c>
      <c r="DV181" s="116">
        <v>-9</v>
      </c>
      <c r="DW181" s="160">
        <v>454</v>
      </c>
      <c r="DX181" s="160">
        <v>2724</v>
      </c>
      <c r="DY181" s="116">
        <v>550</v>
      </c>
      <c r="DZ181" s="150"/>
      <c r="EA181" s="116">
        <v>-169</v>
      </c>
      <c r="EB181" s="116">
        <v>-616</v>
      </c>
      <c r="EC181" s="159">
        <v>-1438</v>
      </c>
      <c r="EE181" s="125"/>
      <c r="EF181" s="161"/>
      <c r="EG181" s="124"/>
      <c r="EH181" s="253">
        <v>22.25</v>
      </c>
      <c r="EI181" s="130"/>
      <c r="EJ181" s="125">
        <v>119</v>
      </c>
      <c r="EK181" s="116"/>
      <c r="EL181" s="159"/>
      <c r="EN181" s="116"/>
      <c r="EO181" s="116"/>
      <c r="EP181" s="159"/>
      <c r="EQ181" s="159">
        <v>-409</v>
      </c>
      <c r="ER181" s="116">
        <v>5</v>
      </c>
      <c r="ES181" s="116">
        <v>4</v>
      </c>
      <c r="ET181" s="160">
        <v>-1068</v>
      </c>
      <c r="EU181" s="116">
        <v>9</v>
      </c>
      <c r="EV181" s="116">
        <v>16</v>
      </c>
      <c r="EW181" s="160">
        <v>-2053</v>
      </c>
      <c r="EX181" s="160">
        <v>39</v>
      </c>
      <c r="EY181" s="160">
        <v>26</v>
      </c>
      <c r="EZ181" s="116">
        <v>4</v>
      </c>
      <c r="FA181" s="116">
        <v>5</v>
      </c>
      <c r="FB181" s="116">
        <v>882</v>
      </c>
      <c r="FC181" s="160">
        <v>-6</v>
      </c>
      <c r="FD181" s="116">
        <v>3454</v>
      </c>
      <c r="FE181" s="116">
        <v>-1</v>
      </c>
      <c r="FF181" s="3">
        <v>3490</v>
      </c>
      <c r="FG181" s="3">
        <v>2933</v>
      </c>
      <c r="FH181" s="3">
        <v>557</v>
      </c>
      <c r="FI181" s="3">
        <v>2026</v>
      </c>
      <c r="FJ181" s="125">
        <v>3787</v>
      </c>
      <c r="FK181" s="160">
        <v>3209</v>
      </c>
      <c r="FL181" s="125">
        <v>578</v>
      </c>
      <c r="FM181" s="116">
        <v>2255</v>
      </c>
      <c r="FN181" s="125">
        <v>6624</v>
      </c>
      <c r="FO181" s="116">
        <v>5978</v>
      </c>
      <c r="FP181" s="116">
        <v>646</v>
      </c>
      <c r="FQ181" s="116">
        <v>-169</v>
      </c>
      <c r="FR181" s="153">
        <v>1088</v>
      </c>
      <c r="FS181" s="153">
        <v>1017</v>
      </c>
      <c r="FT181" s="276">
        <v>1017</v>
      </c>
      <c r="FU181" s="3">
        <v>17</v>
      </c>
      <c r="FV181" s="159">
        <v>27</v>
      </c>
      <c r="FW181" s="170"/>
      <c r="FZ181" s="155"/>
      <c r="GA181" s="2"/>
      <c r="GD181" s="163"/>
      <c r="GE181" s="2"/>
      <c r="GF181" s="2"/>
    </row>
    <row r="182" spans="1:188" ht="14.5" x14ac:dyDescent="0.35">
      <c r="A182" s="72">
        <v>854</v>
      </c>
      <c r="B182" s="70" t="s">
        <v>256</v>
      </c>
      <c r="C182" s="158">
        <v>3438</v>
      </c>
      <c r="D182" s="171"/>
      <c r="E182" s="128">
        <v>1.9797136038186158</v>
      </c>
      <c r="F182" s="128">
        <v>38.025755159363023</v>
      </c>
      <c r="G182" s="129">
        <v>-3413.3216986620127</v>
      </c>
      <c r="H182" s="216"/>
      <c r="I182" s="172"/>
      <c r="J182" s="218"/>
      <c r="K182" s="128">
        <v>44.851199169181839</v>
      </c>
      <c r="L182" s="129">
        <v>632.05351948807447</v>
      </c>
      <c r="M182" s="129">
        <v>18.593112663509775</v>
      </c>
      <c r="N182" s="129">
        <v>12407.795229784759</v>
      </c>
      <c r="O182" s="129"/>
      <c r="P182" s="117">
        <v>14489</v>
      </c>
      <c r="Q182" s="161">
        <v>40458</v>
      </c>
      <c r="R182" s="161">
        <v>0</v>
      </c>
      <c r="S182" s="161">
        <v>-25969</v>
      </c>
      <c r="T182" s="124">
        <v>11055</v>
      </c>
      <c r="U182" s="124">
        <v>16467</v>
      </c>
      <c r="V182" s="136"/>
      <c r="X182" s="116">
        <v>-67</v>
      </c>
      <c r="Y182" s="116">
        <v>106</v>
      </c>
      <c r="Z182" s="161">
        <v>1592</v>
      </c>
      <c r="AA182" s="116">
        <v>2034</v>
      </c>
      <c r="AB182" s="116">
        <v>17</v>
      </c>
      <c r="AD182" s="161">
        <v>-425</v>
      </c>
      <c r="AE182" s="117">
        <v>0</v>
      </c>
      <c r="AF182" s="117">
        <v>23</v>
      </c>
      <c r="AG182" s="116">
        <v>-24</v>
      </c>
      <c r="AH182" s="116">
        <v>0</v>
      </c>
      <c r="AI182" s="160">
        <v>-426</v>
      </c>
      <c r="AJ182" s="161">
        <v>2412</v>
      </c>
      <c r="AK182" s="161">
        <v>1526</v>
      </c>
      <c r="AL182" s="150"/>
      <c r="AM182" s="161">
        <v>1</v>
      </c>
      <c r="AN182" s="161">
        <v>-771</v>
      </c>
      <c r="AO182" s="160">
        <v>419</v>
      </c>
      <c r="AQ182" s="160"/>
      <c r="AR182" s="117"/>
      <c r="AS182" s="117"/>
      <c r="AT182" s="99">
        <v>21</v>
      </c>
      <c r="AU182" s="130"/>
      <c r="AV182" s="262">
        <v>156</v>
      </c>
      <c r="AW182" s="267">
        <v>3373</v>
      </c>
      <c r="AX182" s="124"/>
      <c r="AY182" s="255">
        <v>-3.4632034632034632E-2</v>
      </c>
      <c r="AZ182" s="259">
        <v>41.404266426215507</v>
      </c>
      <c r="BA182" s="160">
        <v>-3928.5502520011855</v>
      </c>
      <c r="BB182" s="130"/>
      <c r="BC182" s="130"/>
      <c r="BD182" s="130"/>
      <c r="BE182" s="128">
        <v>39.04736720325257</v>
      </c>
      <c r="BF182" s="160">
        <v>600.65223836347468</v>
      </c>
      <c r="BG182" s="129">
        <v>17.555223550243468</v>
      </c>
      <c r="BH182" s="131">
        <v>13394.604209902165</v>
      </c>
      <c r="BI182" s="124"/>
      <c r="BJ182" s="117">
        <v>14529</v>
      </c>
      <c r="BK182" s="117">
        <v>42286</v>
      </c>
      <c r="BL182" s="161">
        <v>0</v>
      </c>
      <c r="BM182" s="161">
        <v>-27757</v>
      </c>
      <c r="BN182" s="117">
        <v>11157</v>
      </c>
      <c r="BO182" s="117">
        <v>16457</v>
      </c>
      <c r="BP182" s="136"/>
      <c r="BR182" s="160">
        <v>-61</v>
      </c>
      <c r="BS182" s="160">
        <v>118</v>
      </c>
      <c r="BT182" s="161">
        <v>-86</v>
      </c>
      <c r="BU182" s="125">
        <v>2023</v>
      </c>
      <c r="BV182" s="160">
        <v>0</v>
      </c>
      <c r="BX182" s="161">
        <v>-2109</v>
      </c>
      <c r="BY182" s="161">
        <v>4</v>
      </c>
      <c r="BZ182" s="160">
        <v>9</v>
      </c>
      <c r="CA182" s="160">
        <v>14</v>
      </c>
      <c r="CB182" s="160">
        <v>0</v>
      </c>
      <c r="CC182" s="160">
        <v>-2110</v>
      </c>
      <c r="CD182" s="160">
        <v>301</v>
      </c>
      <c r="CE182" s="116">
        <v>-373</v>
      </c>
      <c r="CF182" s="150"/>
      <c r="CG182" s="161">
        <v>54</v>
      </c>
      <c r="CH182" s="160">
        <v>-631</v>
      </c>
      <c r="CI182" s="159">
        <v>-1555</v>
      </c>
      <c r="CK182" s="124"/>
      <c r="CL182" s="161"/>
      <c r="CM182" s="124"/>
      <c r="CN182" s="265">
        <v>21.25</v>
      </c>
      <c r="CO182" s="130"/>
      <c r="CP182" s="116">
        <v>278</v>
      </c>
      <c r="CQ182" s="267">
        <v>3304</v>
      </c>
      <c r="CR182" s="124"/>
      <c r="CS182" s="268">
        <v>4.5604075691411934</v>
      </c>
      <c r="CT182" s="269">
        <v>39.623807841752033</v>
      </c>
      <c r="CU182" s="160">
        <v>-3750.9079903147699</v>
      </c>
      <c r="CV182" s="130"/>
      <c r="CW182" s="130"/>
      <c r="CX182" s="130"/>
      <c r="CY182" s="269">
        <v>40.689024774632792</v>
      </c>
      <c r="CZ182" s="125">
        <v>938.86198547215497</v>
      </c>
      <c r="DA182" s="125">
        <v>25.013918345705196</v>
      </c>
      <c r="DB182" s="273">
        <v>13699.757869249393</v>
      </c>
      <c r="DC182" s="124"/>
      <c r="DD182" s="117">
        <v>14854</v>
      </c>
      <c r="DE182" s="117">
        <v>42355</v>
      </c>
      <c r="DF182" s="117">
        <v>0</v>
      </c>
      <c r="DG182" s="117">
        <v>-27501</v>
      </c>
      <c r="DH182" s="117">
        <v>11535</v>
      </c>
      <c r="DI182" s="117">
        <v>18907</v>
      </c>
      <c r="DJ182" s="136"/>
      <c r="DL182" s="160">
        <v>-50</v>
      </c>
      <c r="DM182" s="160">
        <v>185</v>
      </c>
      <c r="DN182" s="161">
        <v>3076</v>
      </c>
      <c r="DO182" s="116">
        <v>1948</v>
      </c>
      <c r="DP182" s="160">
        <v>-2</v>
      </c>
      <c r="DR182" s="161">
        <v>1126</v>
      </c>
      <c r="DS182" s="117">
        <v>4</v>
      </c>
      <c r="DT182" s="116">
        <v>6</v>
      </c>
      <c r="DU182" s="116">
        <v>29</v>
      </c>
      <c r="DV182" s="116">
        <v>0</v>
      </c>
      <c r="DW182" s="160">
        <v>1107</v>
      </c>
      <c r="DX182" s="160">
        <v>1402</v>
      </c>
      <c r="DY182" s="116">
        <v>2948</v>
      </c>
      <c r="DZ182" s="150"/>
      <c r="EA182" s="117">
        <v>-280</v>
      </c>
      <c r="EB182" s="116">
        <v>-630</v>
      </c>
      <c r="EC182" s="159">
        <v>861</v>
      </c>
      <c r="EE182" s="125"/>
      <c r="EF182" s="161"/>
      <c r="EG182" s="124"/>
      <c r="EH182" s="253">
        <v>21.25</v>
      </c>
      <c r="EI182" s="130"/>
      <c r="EJ182" s="125">
        <v>168</v>
      </c>
      <c r="EK182" s="116"/>
      <c r="EL182" s="159"/>
      <c r="EN182" s="116"/>
      <c r="EO182" s="116"/>
      <c r="EP182" s="159"/>
      <c r="EQ182" s="159">
        <v>-1337</v>
      </c>
      <c r="ER182" s="116">
        <v>48</v>
      </c>
      <c r="ES182" s="116">
        <v>182</v>
      </c>
      <c r="ET182" s="160">
        <v>-1949</v>
      </c>
      <c r="EU182" s="116">
        <v>56</v>
      </c>
      <c r="EV182" s="116">
        <v>711</v>
      </c>
      <c r="EW182" s="160">
        <v>-2201</v>
      </c>
      <c r="EX182" s="160">
        <v>110</v>
      </c>
      <c r="EY182" s="160">
        <v>4</v>
      </c>
      <c r="EZ182" s="116">
        <v>32</v>
      </c>
      <c r="FA182" s="116">
        <v>-421</v>
      </c>
      <c r="FB182" s="116">
        <v>1027</v>
      </c>
      <c r="FC182" s="160">
        <v>1422</v>
      </c>
      <c r="FD182" s="116">
        <v>656</v>
      </c>
      <c r="FE182" s="116">
        <v>-255</v>
      </c>
      <c r="FF182" s="3">
        <v>9731</v>
      </c>
      <c r="FG182" s="3">
        <v>8589</v>
      </c>
      <c r="FH182" s="3">
        <v>1142</v>
      </c>
      <c r="FI182" s="3">
        <v>0</v>
      </c>
      <c r="FJ182" s="125">
        <v>11371</v>
      </c>
      <c r="FK182" s="160">
        <v>8779</v>
      </c>
      <c r="FL182" s="125">
        <v>2592</v>
      </c>
      <c r="FM182" s="116">
        <v>0</v>
      </c>
      <c r="FN182" s="125">
        <v>11173</v>
      </c>
      <c r="FO182" s="116">
        <v>8828</v>
      </c>
      <c r="FP182" s="116">
        <v>2345</v>
      </c>
      <c r="FQ182" s="116">
        <v>-280</v>
      </c>
      <c r="FR182" s="153">
        <v>159</v>
      </c>
      <c r="FS182" s="153">
        <v>107</v>
      </c>
      <c r="FT182" s="276">
        <v>3017</v>
      </c>
      <c r="FU182" s="3">
        <v>3158</v>
      </c>
      <c r="FV182" s="159">
        <v>2768</v>
      </c>
      <c r="FW182" s="170"/>
      <c r="FZ182" s="155"/>
      <c r="GA182" s="2"/>
      <c r="GD182" s="163"/>
      <c r="GE182" s="2"/>
      <c r="GF182" s="2"/>
    </row>
    <row r="183" spans="1:188" ht="14.5" x14ac:dyDescent="0.35">
      <c r="A183" s="72">
        <v>584</v>
      </c>
      <c r="B183" s="70" t="s">
        <v>175</v>
      </c>
      <c r="C183" s="158">
        <v>2825</v>
      </c>
      <c r="D183" s="171"/>
      <c r="E183" s="128">
        <v>1.2133995037220844</v>
      </c>
      <c r="F183" s="128">
        <v>67.197165509830683</v>
      </c>
      <c r="G183" s="129">
        <v>-4972.0353982300885</v>
      </c>
      <c r="H183" s="216"/>
      <c r="I183" s="172"/>
      <c r="J183" s="218"/>
      <c r="K183" s="128">
        <v>41.125991104235155</v>
      </c>
      <c r="L183" s="129">
        <v>2539.8230088495575</v>
      </c>
      <c r="M183" s="129">
        <v>65.33304228514406</v>
      </c>
      <c r="N183" s="129">
        <v>14189.380530973453</v>
      </c>
      <c r="O183" s="129"/>
      <c r="P183" s="117">
        <v>14166</v>
      </c>
      <c r="Q183" s="161">
        <v>33972</v>
      </c>
      <c r="R183" s="161">
        <v>2</v>
      </c>
      <c r="S183" s="161">
        <v>-19804</v>
      </c>
      <c r="T183" s="124">
        <v>7709</v>
      </c>
      <c r="U183" s="124">
        <v>12558</v>
      </c>
      <c r="V183" s="136"/>
      <c r="X183" s="116">
        <v>135</v>
      </c>
      <c r="Y183" s="116">
        <v>-191</v>
      </c>
      <c r="Z183" s="161">
        <v>407</v>
      </c>
      <c r="AA183" s="116">
        <v>1836</v>
      </c>
      <c r="AB183" s="116">
        <v>-1</v>
      </c>
      <c r="AD183" s="161">
        <v>-1430</v>
      </c>
      <c r="AE183" s="117">
        <v>-3</v>
      </c>
      <c r="AF183" s="117">
        <v>-6</v>
      </c>
      <c r="AG183" s="116">
        <v>0</v>
      </c>
      <c r="AH183" s="116">
        <v>0</v>
      </c>
      <c r="AI183" s="160">
        <v>-1439</v>
      </c>
      <c r="AJ183" s="161">
        <v>4290</v>
      </c>
      <c r="AK183" s="161">
        <v>226</v>
      </c>
      <c r="AL183" s="150"/>
      <c r="AM183" s="161">
        <v>-73</v>
      </c>
      <c r="AN183" s="161">
        <v>-321</v>
      </c>
      <c r="AO183" s="160">
        <v>-4334</v>
      </c>
      <c r="AQ183" s="160"/>
      <c r="AR183" s="117"/>
      <c r="AS183" s="117"/>
      <c r="AT183" s="99">
        <v>21.5</v>
      </c>
      <c r="AU183" s="130"/>
      <c r="AV183" s="262">
        <v>263</v>
      </c>
      <c r="AW183" s="267">
        <v>2759</v>
      </c>
      <c r="AX183" s="124"/>
      <c r="AY183" s="255">
        <v>2.6713147410358564</v>
      </c>
      <c r="AZ183" s="259">
        <v>70.200629425649097</v>
      </c>
      <c r="BA183" s="160">
        <v>-5271.1127220007247</v>
      </c>
      <c r="BB183" s="130"/>
      <c r="BC183" s="130"/>
      <c r="BD183" s="130"/>
      <c r="BE183" s="128">
        <v>39.133092003196843</v>
      </c>
      <c r="BF183" s="160">
        <v>2639.3620877129392</v>
      </c>
      <c r="BG183" s="129">
        <v>71.151547260032061</v>
      </c>
      <c r="BH183" s="131">
        <v>13340.703153316419</v>
      </c>
      <c r="BI183" s="124"/>
      <c r="BJ183" s="117">
        <v>14522</v>
      </c>
      <c r="BK183" s="117">
        <v>34732</v>
      </c>
      <c r="BL183" s="161">
        <v>4</v>
      </c>
      <c r="BM183" s="161">
        <v>-20206</v>
      </c>
      <c r="BN183" s="117">
        <v>7519</v>
      </c>
      <c r="BO183" s="117">
        <v>13547</v>
      </c>
      <c r="BP183" s="136"/>
      <c r="BR183" s="160">
        <v>200</v>
      </c>
      <c r="BS183" s="160">
        <v>174</v>
      </c>
      <c r="BT183" s="161">
        <v>1234</v>
      </c>
      <c r="BU183" s="125">
        <v>1932</v>
      </c>
      <c r="BV183" s="160">
        <v>0</v>
      </c>
      <c r="BX183" s="161">
        <v>-698</v>
      </c>
      <c r="BY183" s="161">
        <v>-3</v>
      </c>
      <c r="BZ183" s="160">
        <v>459</v>
      </c>
      <c r="CA183" s="160">
        <v>1</v>
      </c>
      <c r="CB183" s="160">
        <v>0</v>
      </c>
      <c r="CC183" s="160">
        <v>-243</v>
      </c>
      <c r="CD183" s="160">
        <v>4049</v>
      </c>
      <c r="CE183" s="116">
        <v>1148</v>
      </c>
      <c r="CF183" s="150"/>
      <c r="CG183" s="161">
        <v>-1232</v>
      </c>
      <c r="CH183" s="160">
        <v>-395</v>
      </c>
      <c r="CI183" s="159">
        <v>-528</v>
      </c>
      <c r="CK183" s="124"/>
      <c r="CL183" s="161"/>
      <c r="CM183" s="124"/>
      <c r="CN183" s="265">
        <v>21.5</v>
      </c>
      <c r="CO183" s="130"/>
      <c r="CP183" s="116">
        <v>144</v>
      </c>
      <c r="CQ183" s="267">
        <v>2706</v>
      </c>
      <c r="CR183" s="124"/>
      <c r="CS183" s="268">
        <v>3.473947895791583</v>
      </c>
      <c r="CT183" s="269">
        <v>67.254285094380563</v>
      </c>
      <c r="CU183" s="160">
        <v>-5143.3850702143391</v>
      </c>
      <c r="CV183" s="130"/>
      <c r="CW183" s="130"/>
      <c r="CX183" s="130"/>
      <c r="CY183" s="269">
        <v>40.764272347110875</v>
      </c>
      <c r="CZ183" s="125">
        <v>3004.4345898004435</v>
      </c>
      <c r="DA183" s="125">
        <v>77.574307897419814</v>
      </c>
      <c r="DB183" s="273">
        <v>14136.363636363636</v>
      </c>
      <c r="DC183" s="124"/>
      <c r="DD183" s="117">
        <v>14581</v>
      </c>
      <c r="DE183" s="117">
        <v>33757</v>
      </c>
      <c r="DF183" s="117">
        <v>3</v>
      </c>
      <c r="DG183" s="117">
        <v>-19173</v>
      </c>
      <c r="DH183" s="117">
        <v>7880</v>
      </c>
      <c r="DI183" s="117">
        <v>14411</v>
      </c>
      <c r="DJ183" s="136"/>
      <c r="DL183" s="160">
        <v>465</v>
      </c>
      <c r="DM183" s="160">
        <v>-230</v>
      </c>
      <c r="DN183" s="161">
        <v>3353</v>
      </c>
      <c r="DO183" s="116">
        <v>2409</v>
      </c>
      <c r="DP183" s="160">
        <v>0</v>
      </c>
      <c r="DR183" s="161">
        <v>944</v>
      </c>
      <c r="DS183" s="117">
        <v>-4</v>
      </c>
      <c r="DT183" s="116">
        <v>20</v>
      </c>
      <c r="DU183" s="116">
        <v>0</v>
      </c>
      <c r="DV183" s="116">
        <v>0</v>
      </c>
      <c r="DW183" s="160">
        <v>960</v>
      </c>
      <c r="DX183" s="160">
        <v>5089</v>
      </c>
      <c r="DY183" s="116">
        <v>3280</v>
      </c>
      <c r="DZ183" s="150"/>
      <c r="EA183" s="117">
        <v>965</v>
      </c>
      <c r="EB183" s="116">
        <v>-884</v>
      </c>
      <c r="EC183" s="159">
        <v>479</v>
      </c>
      <c r="EE183" s="125"/>
      <c r="EF183" s="161"/>
      <c r="EG183" s="124"/>
      <c r="EH183" s="253">
        <v>21.5</v>
      </c>
      <c r="EI183" s="130"/>
      <c r="EJ183" s="125">
        <v>63</v>
      </c>
      <c r="EK183" s="116"/>
      <c r="EL183" s="159"/>
      <c r="EN183" s="116"/>
      <c r="EO183" s="116"/>
      <c r="EP183" s="159"/>
      <c r="EQ183" s="159">
        <v>-5498</v>
      </c>
      <c r="ER183" s="116">
        <v>52</v>
      </c>
      <c r="ES183" s="116">
        <v>886</v>
      </c>
      <c r="ET183" s="160">
        <v>-1706</v>
      </c>
      <c r="EU183" s="116">
        <v>0</v>
      </c>
      <c r="EV183" s="116">
        <v>30</v>
      </c>
      <c r="EW183" s="160">
        <v>-3243</v>
      </c>
      <c r="EX183" s="160">
        <v>62</v>
      </c>
      <c r="EY183" s="160">
        <v>380</v>
      </c>
      <c r="EZ183" s="116">
        <v>6278</v>
      </c>
      <c r="FA183" s="116">
        <v>-2644</v>
      </c>
      <c r="FB183" s="116">
        <v>803</v>
      </c>
      <c r="FC183" s="160">
        <v>2050</v>
      </c>
      <c r="FD183" s="116">
        <v>3657</v>
      </c>
      <c r="FE183" s="116">
        <v>-3060</v>
      </c>
      <c r="FF183" s="3">
        <v>18555</v>
      </c>
      <c r="FG183" s="3">
        <v>16253</v>
      </c>
      <c r="FH183" s="3">
        <v>2302</v>
      </c>
      <c r="FI183" s="3">
        <v>15</v>
      </c>
      <c r="FJ183" s="125">
        <v>21037</v>
      </c>
      <c r="FK183" s="160">
        <v>16675</v>
      </c>
      <c r="FL183" s="125">
        <v>4362</v>
      </c>
      <c r="FM183" s="116">
        <v>15</v>
      </c>
      <c r="FN183" s="125">
        <v>21303</v>
      </c>
      <c r="FO183" s="116">
        <v>19925</v>
      </c>
      <c r="FP183" s="116">
        <v>1378</v>
      </c>
      <c r="FQ183" s="116">
        <v>965</v>
      </c>
      <c r="FR183" s="153">
        <v>25490</v>
      </c>
      <c r="FS183" s="153">
        <v>21703</v>
      </c>
      <c r="FT183" s="276">
        <v>21181</v>
      </c>
      <c r="FU183" s="3">
        <v>998</v>
      </c>
      <c r="FV183" s="159">
        <v>868</v>
      </c>
      <c r="FW183" s="170"/>
      <c r="FZ183" s="155"/>
      <c r="GA183" s="2"/>
      <c r="GD183" s="163"/>
      <c r="GE183" s="2"/>
      <c r="GF183" s="2"/>
    </row>
    <row r="184" spans="1:188" ht="14.5" x14ac:dyDescent="0.35">
      <c r="A184" s="72">
        <v>588</v>
      </c>
      <c r="B184" s="70" t="s">
        <v>176</v>
      </c>
      <c r="C184" s="158">
        <v>1713</v>
      </c>
      <c r="D184" s="171"/>
      <c r="E184" s="128">
        <v>-0.20147058823529412</v>
      </c>
      <c r="F184" s="128">
        <v>57.41231418691337</v>
      </c>
      <c r="G184" s="129">
        <v>-5586.690017513135</v>
      </c>
      <c r="H184" s="216"/>
      <c r="I184" s="172"/>
      <c r="J184" s="218"/>
      <c r="K184" s="128">
        <v>23.406897869494603</v>
      </c>
      <c r="L184" s="129">
        <v>750.72971395213074</v>
      </c>
      <c r="M184" s="129">
        <v>19.353894363583887</v>
      </c>
      <c r="N184" s="129">
        <v>14158.20198482195</v>
      </c>
      <c r="O184" s="129"/>
      <c r="P184" s="117">
        <v>10771</v>
      </c>
      <c r="Q184" s="161">
        <v>22485</v>
      </c>
      <c r="R184" s="161">
        <v>3</v>
      </c>
      <c r="S184" s="161">
        <v>-11711</v>
      </c>
      <c r="T184" s="124">
        <v>5495</v>
      </c>
      <c r="U184" s="124">
        <v>6001</v>
      </c>
      <c r="V184" s="136"/>
      <c r="X184" s="116">
        <v>-46</v>
      </c>
      <c r="Y184" s="116">
        <v>75</v>
      </c>
      <c r="Z184" s="161">
        <v>-186</v>
      </c>
      <c r="AA184" s="116">
        <v>954</v>
      </c>
      <c r="AB184" s="116">
        <v>-72</v>
      </c>
      <c r="AD184" s="161">
        <v>-1212</v>
      </c>
      <c r="AE184" s="117">
        <v>0</v>
      </c>
      <c r="AF184" s="117">
        <v>4</v>
      </c>
      <c r="AG184" s="116">
        <v>0</v>
      </c>
      <c r="AH184" s="116">
        <v>6</v>
      </c>
      <c r="AI184" s="160">
        <v>-1202</v>
      </c>
      <c r="AJ184" s="161">
        <v>-567</v>
      </c>
      <c r="AK184" s="161">
        <v>-254</v>
      </c>
      <c r="AL184" s="150"/>
      <c r="AM184" s="161">
        <v>-504</v>
      </c>
      <c r="AN184" s="161">
        <v>-631</v>
      </c>
      <c r="AO184" s="160">
        <v>-1255</v>
      </c>
      <c r="AQ184" s="160"/>
      <c r="AR184" s="117"/>
      <c r="AS184" s="117"/>
      <c r="AT184" s="99">
        <v>21.5</v>
      </c>
      <c r="AU184" s="130"/>
      <c r="AV184" s="262">
        <v>289</v>
      </c>
      <c r="AW184" s="267">
        <v>1690</v>
      </c>
      <c r="AX184" s="124"/>
      <c r="AY184" s="255">
        <v>-0.18791946308724833</v>
      </c>
      <c r="AZ184" s="259">
        <v>60.967048396296782</v>
      </c>
      <c r="BA184" s="160">
        <v>-6342.0118343195263</v>
      </c>
      <c r="BB184" s="130"/>
      <c r="BC184" s="130"/>
      <c r="BD184" s="130"/>
      <c r="BE184" s="128">
        <v>18.167395798278928</v>
      </c>
      <c r="BF184" s="160">
        <v>778.69822485207101</v>
      </c>
      <c r="BG184" s="129">
        <v>19.494976203067161</v>
      </c>
      <c r="BH184" s="131">
        <v>14546.153846153846</v>
      </c>
      <c r="BI184" s="124"/>
      <c r="BJ184" s="117">
        <v>10762</v>
      </c>
      <c r="BK184" s="117">
        <v>23014</v>
      </c>
      <c r="BL184" s="161">
        <v>6</v>
      </c>
      <c r="BM184" s="161">
        <v>-12246</v>
      </c>
      <c r="BN184" s="117">
        <v>5887</v>
      </c>
      <c r="BO184" s="117">
        <v>6142</v>
      </c>
      <c r="BP184" s="136"/>
      <c r="BR184" s="160">
        <v>-48</v>
      </c>
      <c r="BS184" s="160">
        <v>98</v>
      </c>
      <c r="BT184" s="161">
        <v>-167</v>
      </c>
      <c r="BU184" s="125">
        <v>926</v>
      </c>
      <c r="BV184" s="160">
        <v>-7</v>
      </c>
      <c r="BW184" s="117"/>
      <c r="BX184" s="161">
        <v>-1100</v>
      </c>
      <c r="BY184" s="161">
        <v>0</v>
      </c>
      <c r="BZ184" s="160">
        <v>0</v>
      </c>
      <c r="CA184" s="160">
        <v>0</v>
      </c>
      <c r="CB184" s="160">
        <v>-13</v>
      </c>
      <c r="CC184" s="160">
        <v>-1113</v>
      </c>
      <c r="CD184" s="160">
        <v>-1707</v>
      </c>
      <c r="CE184" s="116">
        <v>-215</v>
      </c>
      <c r="CF184" s="150"/>
      <c r="CG184" s="160">
        <v>60</v>
      </c>
      <c r="CH184" s="160">
        <v>-541</v>
      </c>
      <c r="CI184" s="159">
        <v>-1113</v>
      </c>
      <c r="CK184" s="124"/>
      <c r="CL184" s="161"/>
      <c r="CM184" s="124"/>
      <c r="CN184" s="265">
        <v>21.5</v>
      </c>
      <c r="CO184" s="130"/>
      <c r="CP184" s="116">
        <v>279</v>
      </c>
      <c r="CQ184" s="267">
        <v>1654</v>
      </c>
      <c r="CR184" s="124"/>
      <c r="CS184" s="268">
        <v>1.2286184210526316</v>
      </c>
      <c r="CT184" s="269">
        <v>59.912936900384601</v>
      </c>
      <c r="CU184" s="160">
        <v>-6458.2829504232159</v>
      </c>
      <c r="CV184" s="130"/>
      <c r="CW184" s="130"/>
      <c r="CX184" s="130"/>
      <c r="CY184" s="269">
        <v>16.702830416124211</v>
      </c>
      <c r="CZ184" s="125">
        <v>982.46674727932282</v>
      </c>
      <c r="DA184" s="125">
        <v>24.364319750246466</v>
      </c>
      <c r="DB184" s="273">
        <v>14718.258766626361</v>
      </c>
      <c r="DC184" s="124"/>
      <c r="DD184" s="117">
        <v>10910</v>
      </c>
      <c r="DE184" s="117">
        <v>23045</v>
      </c>
      <c r="DF184" s="117">
        <v>4</v>
      </c>
      <c r="DG184" s="117">
        <v>-12131</v>
      </c>
      <c r="DH184" s="117">
        <v>6210</v>
      </c>
      <c r="DI184" s="117">
        <v>6541</v>
      </c>
      <c r="DJ184" s="136"/>
      <c r="DL184" s="160">
        <v>-46</v>
      </c>
      <c r="DM184" s="160">
        <v>120</v>
      </c>
      <c r="DN184" s="161">
        <v>694</v>
      </c>
      <c r="DO184" s="116">
        <v>987</v>
      </c>
      <c r="DP184" s="160">
        <v>0</v>
      </c>
      <c r="DQ184" s="117"/>
      <c r="DR184" s="161">
        <v>-293</v>
      </c>
      <c r="DS184" s="117">
        <v>0</v>
      </c>
      <c r="DT184" s="116">
        <v>0</v>
      </c>
      <c r="DU184" s="116">
        <v>0</v>
      </c>
      <c r="DV184" s="116">
        <v>-22</v>
      </c>
      <c r="DW184" s="160">
        <v>-315</v>
      </c>
      <c r="DX184" s="160">
        <v>-2022</v>
      </c>
      <c r="DY184" s="116">
        <v>666</v>
      </c>
      <c r="DZ184" s="150"/>
      <c r="EA184" s="116">
        <v>-19</v>
      </c>
      <c r="EB184" s="116">
        <v>-555</v>
      </c>
      <c r="EC184" s="159">
        <v>16</v>
      </c>
      <c r="EE184" s="125"/>
      <c r="EF184" s="161"/>
      <c r="EG184" s="124"/>
      <c r="EH184" s="253">
        <v>21.5</v>
      </c>
      <c r="EI184" s="130"/>
      <c r="EJ184" s="125">
        <v>287</v>
      </c>
      <c r="EK184" s="116"/>
      <c r="EL184" s="159"/>
      <c r="EN184" s="116"/>
      <c r="EO184" s="116"/>
      <c r="EP184" s="159"/>
      <c r="EQ184" s="159">
        <v>-1086</v>
      </c>
      <c r="ER184" s="116">
        <v>40</v>
      </c>
      <c r="ES184" s="116">
        <v>45</v>
      </c>
      <c r="ET184" s="160">
        <v>-971</v>
      </c>
      <c r="EU184" s="116">
        <v>0</v>
      </c>
      <c r="EV184" s="116">
        <v>73</v>
      </c>
      <c r="EW184" s="160">
        <v>-687</v>
      </c>
      <c r="EX184" s="160">
        <v>0</v>
      </c>
      <c r="EY184" s="160">
        <v>37</v>
      </c>
      <c r="EZ184" s="116">
        <v>1204</v>
      </c>
      <c r="FA184" s="116">
        <v>-304</v>
      </c>
      <c r="FB184" s="116">
        <v>674</v>
      </c>
      <c r="FC184" s="160">
        <v>709</v>
      </c>
      <c r="FD184" s="116">
        <v>347</v>
      </c>
      <c r="FE184" s="116">
        <v>881</v>
      </c>
      <c r="FF184" s="3">
        <v>9478</v>
      </c>
      <c r="FG184" s="3">
        <v>8488</v>
      </c>
      <c r="FH184" s="3">
        <v>990</v>
      </c>
      <c r="FI184" s="3">
        <v>7</v>
      </c>
      <c r="FJ184" s="125">
        <v>10349</v>
      </c>
      <c r="FK184" s="160">
        <v>8621</v>
      </c>
      <c r="FL184" s="125">
        <v>1728</v>
      </c>
      <c r="FM184" s="116">
        <v>6</v>
      </c>
      <c r="FN184" s="125">
        <v>11022</v>
      </c>
      <c r="FO184" s="116">
        <v>8414</v>
      </c>
      <c r="FP184" s="116">
        <v>2608</v>
      </c>
      <c r="FQ184" s="116">
        <v>-19</v>
      </c>
      <c r="FR184" s="153">
        <v>69</v>
      </c>
      <c r="FS184" s="153">
        <v>104</v>
      </c>
      <c r="FT184" s="276">
        <v>215</v>
      </c>
      <c r="FU184" s="3">
        <v>479</v>
      </c>
      <c r="FV184" s="159">
        <v>644</v>
      </c>
      <c r="FW184" s="170"/>
      <c r="FZ184" s="155"/>
      <c r="GA184" s="2"/>
      <c r="GD184" s="163"/>
      <c r="GE184" s="2"/>
      <c r="GF184" s="2"/>
    </row>
    <row r="185" spans="1:188" ht="14.5" x14ac:dyDescent="0.35">
      <c r="A185" s="72">
        <v>592</v>
      </c>
      <c r="B185" s="70" t="s">
        <v>177</v>
      </c>
      <c r="C185" s="158">
        <v>3900</v>
      </c>
      <c r="D185" s="171"/>
      <c r="E185" s="128">
        <v>0.77502634351949418</v>
      </c>
      <c r="F185" s="128">
        <v>81.976694735051453</v>
      </c>
      <c r="G185" s="129">
        <v>-5279.7435897435898</v>
      </c>
      <c r="H185" s="216"/>
      <c r="I185" s="172"/>
      <c r="J185" s="218"/>
      <c r="K185" s="128">
        <v>38.105949127601427</v>
      </c>
      <c r="L185" s="129">
        <v>1509.7435897435898</v>
      </c>
      <c r="M185" s="129">
        <v>53.811407681906957</v>
      </c>
      <c r="N185" s="129">
        <v>10240.51282051282</v>
      </c>
      <c r="O185" s="129"/>
      <c r="P185" s="117">
        <v>10746</v>
      </c>
      <c r="Q185" s="161">
        <v>33835</v>
      </c>
      <c r="R185" s="161">
        <v>0</v>
      </c>
      <c r="S185" s="161">
        <v>-23089</v>
      </c>
      <c r="T185" s="124">
        <v>12972</v>
      </c>
      <c r="U185" s="124">
        <v>11553</v>
      </c>
      <c r="V185" s="136"/>
      <c r="X185" s="116">
        <v>-119</v>
      </c>
      <c r="Y185" s="116">
        <v>32</v>
      </c>
      <c r="Z185" s="161">
        <v>1349</v>
      </c>
      <c r="AA185" s="116">
        <v>1670</v>
      </c>
      <c r="AB185" s="116">
        <v>0</v>
      </c>
      <c r="AD185" s="161">
        <v>-321</v>
      </c>
      <c r="AE185" s="117">
        <v>0</v>
      </c>
      <c r="AF185" s="117">
        <v>0</v>
      </c>
      <c r="AG185" s="116">
        <v>0</v>
      </c>
      <c r="AH185" s="116">
        <v>0</v>
      </c>
      <c r="AI185" s="160">
        <v>-321</v>
      </c>
      <c r="AJ185" s="161">
        <v>8206</v>
      </c>
      <c r="AK185" s="161">
        <v>1361</v>
      </c>
      <c r="AL185" s="150"/>
      <c r="AM185" s="161">
        <v>11</v>
      </c>
      <c r="AN185" s="161">
        <v>-1776</v>
      </c>
      <c r="AO185" s="160">
        <v>-2702</v>
      </c>
      <c r="AQ185" s="160"/>
      <c r="AR185" s="117"/>
      <c r="AS185" s="117"/>
      <c r="AT185" s="99">
        <v>21.75</v>
      </c>
      <c r="AU185" s="130"/>
      <c r="AV185" s="262">
        <v>198</v>
      </c>
      <c r="AW185" s="267">
        <v>3841</v>
      </c>
      <c r="AX185" s="124"/>
      <c r="AY185" s="255">
        <v>-1.0466605672461116</v>
      </c>
      <c r="AZ185" s="259">
        <v>92.712218831242225</v>
      </c>
      <c r="BA185" s="160">
        <v>-6361.3642280656086</v>
      </c>
      <c r="BB185" s="130"/>
      <c r="BC185" s="130"/>
      <c r="BD185" s="130"/>
      <c r="BE185" s="128">
        <v>28.81709540206603</v>
      </c>
      <c r="BF185" s="160">
        <v>1829.7318406664931</v>
      </c>
      <c r="BG185" s="129">
        <v>49.422099574565941</v>
      </c>
      <c r="BH185" s="131">
        <v>11321.270502473315</v>
      </c>
      <c r="BI185" s="124"/>
      <c r="BJ185" s="117">
        <v>10854</v>
      </c>
      <c r="BK185" s="117">
        <v>35893</v>
      </c>
      <c r="BL185" s="161">
        <v>0</v>
      </c>
      <c r="BM185" s="161">
        <v>-25039</v>
      </c>
      <c r="BN185" s="117">
        <v>13364</v>
      </c>
      <c r="BO185" s="117">
        <v>11170</v>
      </c>
      <c r="BP185" s="136"/>
      <c r="BR185" s="160">
        <v>-111</v>
      </c>
      <c r="BS185" s="160">
        <v>-1785</v>
      </c>
      <c r="BT185" s="161">
        <v>-2401</v>
      </c>
      <c r="BU185" s="125">
        <v>1656</v>
      </c>
      <c r="BV185" s="160">
        <v>0</v>
      </c>
      <c r="BX185" s="161">
        <v>-4057</v>
      </c>
      <c r="BY185" s="161">
        <v>0</v>
      </c>
      <c r="BZ185" s="160">
        <v>0</v>
      </c>
      <c r="CA185" s="160">
        <v>0</v>
      </c>
      <c r="CB185" s="160">
        <v>0</v>
      </c>
      <c r="CC185" s="160">
        <v>-4057</v>
      </c>
      <c r="CD185" s="160">
        <v>4149</v>
      </c>
      <c r="CE185" s="116">
        <v>-433</v>
      </c>
      <c r="CF185" s="150"/>
      <c r="CG185" s="160">
        <v>1205</v>
      </c>
      <c r="CH185" s="160">
        <v>-2073</v>
      </c>
      <c r="CI185" s="159">
        <v>-3787</v>
      </c>
      <c r="CK185" s="124"/>
      <c r="CL185" s="161"/>
      <c r="CM185" s="124"/>
      <c r="CN185" s="265">
        <v>21.75</v>
      </c>
      <c r="CO185" s="130"/>
      <c r="CP185" s="116">
        <v>288</v>
      </c>
      <c r="CQ185" s="267">
        <v>3772</v>
      </c>
      <c r="CR185" s="124"/>
      <c r="CS185" s="268">
        <v>1.7642393655371305</v>
      </c>
      <c r="CT185" s="269">
        <v>94.048808709830112</v>
      </c>
      <c r="CU185" s="160">
        <v>-7094.6447507953344</v>
      </c>
      <c r="CV185" s="130"/>
      <c r="CW185" s="130"/>
      <c r="CX185" s="130"/>
      <c r="CY185" s="269">
        <v>28.842523401242822</v>
      </c>
      <c r="CZ185" s="125">
        <v>2081.9194061505837</v>
      </c>
      <c r="DA185" s="125">
        <v>71.823819785506672</v>
      </c>
      <c r="DB185" s="273">
        <v>10580.063626723224</v>
      </c>
      <c r="DC185" s="124"/>
      <c r="DD185" s="117">
        <v>10675</v>
      </c>
      <c r="DE185" s="117">
        <v>35677</v>
      </c>
      <c r="DF185" s="117">
        <v>0</v>
      </c>
      <c r="DG185" s="117">
        <v>-25002</v>
      </c>
      <c r="DH185" s="117">
        <v>13773</v>
      </c>
      <c r="DI185" s="117">
        <v>13578</v>
      </c>
      <c r="DJ185" s="136"/>
      <c r="DL185" s="160">
        <v>-48</v>
      </c>
      <c r="DM185" s="160">
        <v>96</v>
      </c>
      <c r="DN185" s="161">
        <v>2397</v>
      </c>
      <c r="DO185" s="116">
        <v>1695</v>
      </c>
      <c r="DP185" s="160">
        <v>0</v>
      </c>
      <c r="DR185" s="161">
        <v>702</v>
      </c>
      <c r="DS185" s="117">
        <v>0</v>
      </c>
      <c r="DT185" s="116">
        <v>0</v>
      </c>
      <c r="DU185" s="116">
        <v>0</v>
      </c>
      <c r="DV185" s="116">
        <v>0</v>
      </c>
      <c r="DW185" s="160">
        <v>702</v>
      </c>
      <c r="DX185" s="160">
        <v>4588</v>
      </c>
      <c r="DY185" s="116">
        <v>439</v>
      </c>
      <c r="DZ185" s="150"/>
      <c r="EA185" s="116">
        <v>278</v>
      </c>
      <c r="EB185" s="116">
        <v>-1337</v>
      </c>
      <c r="EC185" s="159">
        <v>-2074</v>
      </c>
      <c r="EE185" s="125"/>
      <c r="EF185" s="161"/>
      <c r="EG185" s="124"/>
      <c r="EH185" s="253">
        <v>21.75</v>
      </c>
      <c r="EI185" s="130"/>
      <c r="EJ185" s="125">
        <v>267</v>
      </c>
      <c r="EK185" s="116"/>
      <c r="EL185" s="159"/>
      <c r="EN185" s="116"/>
      <c r="EO185" s="116"/>
      <c r="EP185" s="159"/>
      <c r="EQ185" s="159">
        <v>-4113</v>
      </c>
      <c r="ER185" s="116">
        <v>2</v>
      </c>
      <c r="ES185" s="116">
        <v>48</v>
      </c>
      <c r="ET185" s="160">
        <v>-3398</v>
      </c>
      <c r="EU185" s="116">
        <v>37</v>
      </c>
      <c r="EV185" s="116">
        <v>7</v>
      </c>
      <c r="EW185" s="160">
        <v>-2726</v>
      </c>
      <c r="EX185" s="160">
        <v>15</v>
      </c>
      <c r="EY185" s="160">
        <v>198</v>
      </c>
      <c r="EZ185" s="116">
        <v>1690</v>
      </c>
      <c r="FA185" s="116">
        <v>2271</v>
      </c>
      <c r="FB185" s="116">
        <v>2848</v>
      </c>
      <c r="FC185" s="160">
        <v>3820</v>
      </c>
      <c r="FD185" s="116">
        <v>524</v>
      </c>
      <c r="FE185" s="116">
        <v>3164</v>
      </c>
      <c r="FF185" s="3">
        <v>22572</v>
      </c>
      <c r="FG185" s="3">
        <v>15097</v>
      </c>
      <c r="FH185" s="3">
        <v>7475</v>
      </c>
      <c r="FI185" s="3">
        <v>0</v>
      </c>
      <c r="FJ185" s="125">
        <v>27167</v>
      </c>
      <c r="FK185" s="160">
        <v>16592</v>
      </c>
      <c r="FL185" s="125">
        <v>10575</v>
      </c>
      <c r="FM185" s="116">
        <v>0</v>
      </c>
      <c r="FN185" s="125">
        <v>29523</v>
      </c>
      <c r="FO185" s="116">
        <v>16339</v>
      </c>
      <c r="FP185" s="116">
        <v>13184</v>
      </c>
      <c r="FQ185" s="116">
        <v>278</v>
      </c>
      <c r="FR185" s="153">
        <v>1945</v>
      </c>
      <c r="FS185" s="153">
        <v>1945</v>
      </c>
      <c r="FT185" s="276">
        <v>0</v>
      </c>
      <c r="FU185" s="3">
        <v>497</v>
      </c>
      <c r="FV185" s="159">
        <v>275</v>
      </c>
      <c r="FW185" s="170"/>
      <c r="FZ185" s="155"/>
      <c r="GA185" s="2"/>
      <c r="GD185" s="163"/>
      <c r="GE185" s="2"/>
      <c r="GF185" s="2"/>
    </row>
    <row r="186" spans="1:188" ht="14.5" x14ac:dyDescent="0.35">
      <c r="A186" s="72">
        <v>593</v>
      </c>
      <c r="B186" s="70" t="s">
        <v>178</v>
      </c>
      <c r="C186" s="158">
        <v>17933</v>
      </c>
      <c r="D186" s="171"/>
      <c r="E186" s="128">
        <v>1.6186618661866186</v>
      </c>
      <c r="F186" s="128">
        <v>70.496876308161873</v>
      </c>
      <c r="G186" s="129">
        <v>-6177.9401104109738</v>
      </c>
      <c r="H186" s="216"/>
      <c r="I186" s="172"/>
      <c r="J186" s="218"/>
      <c r="K186" s="128">
        <v>30.449949982989139</v>
      </c>
      <c r="L186" s="129">
        <v>561.53460101488872</v>
      </c>
      <c r="M186" s="129">
        <v>17.860509640802363</v>
      </c>
      <c r="N186" s="129">
        <v>11475.603635755311</v>
      </c>
      <c r="O186" s="129"/>
      <c r="P186" s="117">
        <v>75209</v>
      </c>
      <c r="Q186" s="161">
        <v>178665</v>
      </c>
      <c r="R186" s="161">
        <v>-37</v>
      </c>
      <c r="S186" s="161">
        <v>-103493</v>
      </c>
      <c r="T186" s="124">
        <v>64961</v>
      </c>
      <c r="U186" s="124">
        <v>48549</v>
      </c>
      <c r="V186" s="136"/>
      <c r="X186" s="116">
        <v>-675</v>
      </c>
      <c r="Y186" s="116">
        <v>685</v>
      </c>
      <c r="Z186" s="161">
        <v>10027</v>
      </c>
      <c r="AA186" s="116">
        <v>10511</v>
      </c>
      <c r="AB186" s="116">
        <v>64</v>
      </c>
      <c r="AD186" s="161">
        <v>-420</v>
      </c>
      <c r="AE186" s="116">
        <v>-49</v>
      </c>
      <c r="AF186" s="116">
        <v>37</v>
      </c>
      <c r="AG186" s="116">
        <v>-20</v>
      </c>
      <c r="AH186" s="116">
        <v>-125</v>
      </c>
      <c r="AI186" s="160">
        <v>-577</v>
      </c>
      <c r="AJ186" s="161">
        <v>671</v>
      </c>
      <c r="AK186" s="161">
        <v>8956</v>
      </c>
      <c r="AL186" s="150"/>
      <c r="AM186" s="161">
        <v>-3060</v>
      </c>
      <c r="AN186" s="161">
        <v>-5903</v>
      </c>
      <c r="AO186" s="160">
        <v>-10502</v>
      </c>
      <c r="AQ186" s="160"/>
      <c r="AR186" s="117"/>
      <c r="AS186" s="117"/>
      <c r="AT186" s="99">
        <v>22</v>
      </c>
      <c r="AU186" s="130"/>
      <c r="AV186" s="262">
        <v>126</v>
      </c>
      <c r="AW186" s="267">
        <v>17682</v>
      </c>
      <c r="AX186" s="124"/>
      <c r="AY186" s="255">
        <v>1.5564292321924145</v>
      </c>
      <c r="AZ186" s="259">
        <v>76.361901919612876</v>
      </c>
      <c r="BA186" s="160">
        <v>-6924.89537382649</v>
      </c>
      <c r="BB186" s="130"/>
      <c r="BC186" s="130"/>
      <c r="BD186" s="130"/>
      <c r="BE186" s="128">
        <v>28.152585119798236</v>
      </c>
      <c r="BF186" s="160">
        <v>546.3748444746069</v>
      </c>
      <c r="BG186" s="129">
        <v>17.801428744400049</v>
      </c>
      <c r="BH186" s="131">
        <v>11677.129284017647</v>
      </c>
      <c r="BI186" s="124"/>
      <c r="BJ186" s="117">
        <v>75104</v>
      </c>
      <c r="BK186" s="117">
        <v>181670</v>
      </c>
      <c r="BL186" s="161">
        <v>-67</v>
      </c>
      <c r="BM186" s="161">
        <v>-106633</v>
      </c>
      <c r="BN186" s="117">
        <v>65139</v>
      </c>
      <c r="BO186" s="117">
        <v>47399</v>
      </c>
      <c r="BP186" s="136"/>
      <c r="BR186" s="160">
        <v>-678</v>
      </c>
      <c r="BS186" s="160">
        <v>733</v>
      </c>
      <c r="BT186" s="161">
        <v>5960</v>
      </c>
      <c r="BU186" s="125">
        <v>9232</v>
      </c>
      <c r="BV186" s="160">
        <v>0</v>
      </c>
      <c r="BX186" s="161">
        <v>-3272</v>
      </c>
      <c r="BY186" s="160">
        <v>-8</v>
      </c>
      <c r="BZ186" s="160">
        <v>0</v>
      </c>
      <c r="CA186" s="160">
        <v>2</v>
      </c>
      <c r="CB186" s="160">
        <v>-92</v>
      </c>
      <c r="CC186" s="160">
        <v>-3374</v>
      </c>
      <c r="CD186" s="160">
        <v>-2686</v>
      </c>
      <c r="CE186" s="116">
        <v>5652</v>
      </c>
      <c r="CF186" s="150"/>
      <c r="CG186" s="161">
        <v>1001</v>
      </c>
      <c r="CH186" s="160">
        <v>-3554</v>
      </c>
      <c r="CI186" s="159">
        <v>-13896</v>
      </c>
      <c r="CK186" s="124"/>
      <c r="CL186" s="161"/>
      <c r="CM186" s="124"/>
      <c r="CN186" s="265">
        <v>22</v>
      </c>
      <c r="CO186" s="130"/>
      <c r="CP186" s="116">
        <v>193</v>
      </c>
      <c r="CQ186" s="267">
        <v>17375</v>
      </c>
      <c r="CR186" s="124"/>
      <c r="CS186" s="268">
        <v>19.748743718592966</v>
      </c>
      <c r="CT186" s="269">
        <v>75.064560230897769</v>
      </c>
      <c r="CU186" s="160">
        <v>-7307.2230215827331</v>
      </c>
      <c r="CV186" s="130"/>
      <c r="CW186" s="130"/>
      <c r="CX186" s="130"/>
      <c r="CY186" s="269">
        <v>29.169834377317482</v>
      </c>
      <c r="CZ186" s="125">
        <v>610.47482014388493</v>
      </c>
      <c r="DA186" s="125">
        <v>19.002429567095316</v>
      </c>
      <c r="DB186" s="273">
        <v>11726.043165467627</v>
      </c>
      <c r="DC186" s="124"/>
      <c r="DD186" s="117">
        <v>76331</v>
      </c>
      <c r="DE186" s="117">
        <v>183076</v>
      </c>
      <c r="DF186" s="117">
        <v>450</v>
      </c>
      <c r="DG186" s="117">
        <v>-106295</v>
      </c>
      <c r="DH186" s="117">
        <v>67158</v>
      </c>
      <c r="DI186" s="117">
        <v>54001</v>
      </c>
      <c r="DJ186" s="136"/>
      <c r="DL186" s="160">
        <v>-612</v>
      </c>
      <c r="DM186" s="160">
        <v>717</v>
      </c>
      <c r="DN186" s="161">
        <v>14969</v>
      </c>
      <c r="DO186" s="116">
        <v>9799</v>
      </c>
      <c r="DP186" s="160">
        <v>0</v>
      </c>
      <c r="DR186" s="161">
        <v>5170</v>
      </c>
      <c r="DS186" s="116">
        <v>-103</v>
      </c>
      <c r="DT186" s="116">
        <v>0</v>
      </c>
      <c r="DU186" s="116">
        <v>46</v>
      </c>
      <c r="DV186" s="116">
        <v>277</v>
      </c>
      <c r="DW186" s="160">
        <v>5298</v>
      </c>
      <c r="DX186" s="160">
        <v>2575</v>
      </c>
      <c r="DY186" s="116">
        <v>14811</v>
      </c>
      <c r="DZ186" s="150"/>
      <c r="EA186" s="117">
        <v>505</v>
      </c>
      <c r="EB186" s="116">
        <v>-45</v>
      </c>
      <c r="EC186" s="159">
        <v>-2582</v>
      </c>
      <c r="EE186" s="125"/>
      <c r="EF186" s="161"/>
      <c r="EG186" s="124"/>
      <c r="EH186" s="253">
        <v>22</v>
      </c>
      <c r="EI186" s="130"/>
      <c r="EJ186" s="125">
        <v>205</v>
      </c>
      <c r="EK186" s="116"/>
      <c r="EL186" s="159"/>
      <c r="EN186" s="116"/>
      <c r="EO186" s="116"/>
      <c r="EP186" s="159"/>
      <c r="EQ186" s="159">
        <v>-20277</v>
      </c>
      <c r="ER186" s="116">
        <v>83</v>
      </c>
      <c r="ES186" s="116">
        <v>736</v>
      </c>
      <c r="ET186" s="160">
        <v>-20383</v>
      </c>
      <c r="EU186" s="116">
        <v>100</v>
      </c>
      <c r="EV186" s="116">
        <v>735</v>
      </c>
      <c r="EW186" s="160">
        <v>-19900</v>
      </c>
      <c r="EX186" s="160">
        <v>439</v>
      </c>
      <c r="EY186" s="160">
        <v>2068</v>
      </c>
      <c r="EZ186" s="116">
        <v>12730</v>
      </c>
      <c r="FA186" s="116">
        <v>743</v>
      </c>
      <c r="FB186" s="116">
        <v>19688</v>
      </c>
      <c r="FC186" s="160">
        <v>-4741</v>
      </c>
      <c r="FD186" s="116">
        <v>32892</v>
      </c>
      <c r="FE186" s="116">
        <v>-28962</v>
      </c>
      <c r="FF186" s="3">
        <v>102522</v>
      </c>
      <c r="FG186" s="3">
        <v>80687</v>
      </c>
      <c r="FH186" s="3">
        <v>21835</v>
      </c>
      <c r="FI186" s="3">
        <v>137</v>
      </c>
      <c r="FJ186" s="125">
        <v>113801</v>
      </c>
      <c r="FK186" s="160">
        <v>78350</v>
      </c>
      <c r="FL186" s="125">
        <v>35451</v>
      </c>
      <c r="FM186" s="116">
        <v>100</v>
      </c>
      <c r="FN186" s="125">
        <v>117685</v>
      </c>
      <c r="FO186" s="116">
        <v>103424</v>
      </c>
      <c r="FP186" s="116">
        <v>14261</v>
      </c>
      <c r="FQ186" s="116">
        <v>505</v>
      </c>
      <c r="FR186" s="153">
        <v>2516</v>
      </c>
      <c r="FS186" s="153">
        <v>2156</v>
      </c>
      <c r="FT186" s="276">
        <v>1827</v>
      </c>
      <c r="FU186" s="3">
        <v>4480</v>
      </c>
      <c r="FV186" s="159">
        <v>5938</v>
      </c>
      <c r="FW186" s="170"/>
      <c r="FZ186" s="155"/>
      <c r="GA186" s="2"/>
      <c r="GD186" s="163"/>
      <c r="GE186" s="2"/>
      <c r="GF186" s="2"/>
    </row>
    <row r="187" spans="1:188" ht="14.5" x14ac:dyDescent="0.35">
      <c r="A187" s="72">
        <v>595</v>
      </c>
      <c r="B187" s="70" t="s">
        <v>179</v>
      </c>
      <c r="C187" s="158">
        <v>4498</v>
      </c>
      <c r="D187" s="171"/>
      <c r="E187" s="128">
        <v>1.5847953216374269</v>
      </c>
      <c r="F187" s="128">
        <v>57.942744106819056</v>
      </c>
      <c r="G187" s="129">
        <v>-5275.9004001778567</v>
      </c>
      <c r="H187" s="216"/>
      <c r="I187" s="172"/>
      <c r="J187" s="218"/>
      <c r="K187" s="128">
        <v>39.120780698971878</v>
      </c>
      <c r="L187" s="129">
        <v>1409.0706980880393</v>
      </c>
      <c r="M187" s="129">
        <v>41.321984852815092</v>
      </c>
      <c r="N187" s="129">
        <v>12446.420631391729</v>
      </c>
      <c r="O187" s="129"/>
      <c r="P187" s="117">
        <v>19925</v>
      </c>
      <c r="Q187" s="161">
        <v>52160</v>
      </c>
      <c r="R187" s="161">
        <v>50</v>
      </c>
      <c r="S187" s="161">
        <v>-32185</v>
      </c>
      <c r="T187" s="124">
        <v>13180</v>
      </c>
      <c r="U187" s="124">
        <v>21492</v>
      </c>
      <c r="V187" s="136"/>
      <c r="X187" s="116">
        <v>-190</v>
      </c>
      <c r="Y187" s="116">
        <v>452</v>
      </c>
      <c r="Z187" s="161">
        <v>2749</v>
      </c>
      <c r="AA187" s="116">
        <v>2699</v>
      </c>
      <c r="AB187" s="116">
        <v>-60</v>
      </c>
      <c r="AD187" s="161">
        <v>-10</v>
      </c>
      <c r="AE187" s="117">
        <v>-3</v>
      </c>
      <c r="AF187" s="117">
        <v>6</v>
      </c>
      <c r="AG187" s="116">
        <v>-1</v>
      </c>
      <c r="AH187" s="116">
        <v>18</v>
      </c>
      <c r="AI187" s="160">
        <v>10</v>
      </c>
      <c r="AJ187" s="161">
        <v>-1104</v>
      </c>
      <c r="AK187" s="161">
        <v>2788</v>
      </c>
      <c r="AL187" s="150"/>
      <c r="AM187" s="161">
        <v>1023</v>
      </c>
      <c r="AN187" s="161">
        <v>-1649</v>
      </c>
      <c r="AO187" s="160">
        <v>1246</v>
      </c>
      <c r="AQ187" s="160"/>
      <c r="AR187" s="117"/>
      <c r="AS187" s="117"/>
      <c r="AT187" s="99">
        <v>21.75</v>
      </c>
      <c r="AU187" s="130"/>
      <c r="AV187" s="262">
        <v>106</v>
      </c>
      <c r="AW187" s="267">
        <v>4391</v>
      </c>
      <c r="AX187" s="124"/>
      <c r="AY187" s="255">
        <v>1.457217847769029</v>
      </c>
      <c r="AZ187" s="259">
        <v>57.326224689148972</v>
      </c>
      <c r="BA187" s="160">
        <v>-5208.6085174219997</v>
      </c>
      <c r="BB187" s="130"/>
      <c r="BC187" s="130"/>
      <c r="BD187" s="130"/>
      <c r="BE187" s="128">
        <v>39.470318260477015</v>
      </c>
      <c r="BF187" s="160">
        <v>1466.1808244135732</v>
      </c>
      <c r="BG187" s="129">
        <v>40.691808411461537</v>
      </c>
      <c r="BH187" s="131">
        <v>12947.164654976086</v>
      </c>
      <c r="BI187" s="124"/>
      <c r="BJ187" s="117">
        <v>19594</v>
      </c>
      <c r="BK187" s="117">
        <v>52617</v>
      </c>
      <c r="BL187" s="161">
        <v>37</v>
      </c>
      <c r="BM187" s="161">
        <v>-32986</v>
      </c>
      <c r="BN187" s="117">
        <v>13749</v>
      </c>
      <c r="BO187" s="117">
        <v>21426</v>
      </c>
      <c r="BP187" s="136"/>
      <c r="BR187" s="160">
        <v>-170</v>
      </c>
      <c r="BS187" s="160">
        <v>542</v>
      </c>
      <c r="BT187" s="161">
        <v>2561</v>
      </c>
      <c r="BU187" s="125">
        <v>2682</v>
      </c>
      <c r="BV187" s="160">
        <v>0</v>
      </c>
      <c r="BX187" s="161">
        <v>-121</v>
      </c>
      <c r="BY187" s="161">
        <v>-17</v>
      </c>
      <c r="BZ187" s="160">
        <v>4</v>
      </c>
      <c r="CA187" s="160">
        <v>8</v>
      </c>
      <c r="CB187" s="160">
        <v>36</v>
      </c>
      <c r="CC187" s="160">
        <v>-106</v>
      </c>
      <c r="CD187" s="160">
        <v>-1180</v>
      </c>
      <c r="CE187" s="116">
        <v>2546</v>
      </c>
      <c r="CF187" s="150"/>
      <c r="CG187" s="161">
        <v>-522</v>
      </c>
      <c r="CH187" s="160">
        <v>-1690</v>
      </c>
      <c r="CI187" s="159">
        <v>606</v>
      </c>
      <c r="CK187" s="124"/>
      <c r="CL187" s="161"/>
      <c r="CM187" s="124"/>
      <c r="CN187" s="265">
        <v>21.75</v>
      </c>
      <c r="CO187" s="130"/>
      <c r="CP187" s="116">
        <v>96</v>
      </c>
      <c r="CQ187" s="267">
        <v>4321</v>
      </c>
      <c r="CR187" s="124"/>
      <c r="CS187" s="268">
        <v>3.3561497326203207</v>
      </c>
      <c r="CT187" s="269">
        <v>51.636144785487062</v>
      </c>
      <c r="CU187" s="160">
        <v>-4280.2591992594307</v>
      </c>
      <c r="CV187" s="130"/>
      <c r="CW187" s="130"/>
      <c r="CX187" s="130"/>
      <c r="CY187" s="269">
        <v>44</v>
      </c>
      <c r="CZ187" s="125">
        <v>2180.9766257810688</v>
      </c>
      <c r="DA187" s="125">
        <v>61.204604900268684</v>
      </c>
      <c r="DB187" s="273">
        <v>13006.479981485769</v>
      </c>
      <c r="DC187" s="124"/>
      <c r="DD187" s="117">
        <v>20653</v>
      </c>
      <c r="DE187" s="117">
        <v>52440</v>
      </c>
      <c r="DF187" s="117">
        <v>52</v>
      </c>
      <c r="DG187" s="117">
        <v>-31735</v>
      </c>
      <c r="DH187" s="117">
        <v>13589</v>
      </c>
      <c r="DI187" s="117">
        <v>23913</v>
      </c>
      <c r="DJ187" s="136"/>
      <c r="DL187" s="160">
        <v>-195</v>
      </c>
      <c r="DM187" s="160">
        <v>503</v>
      </c>
      <c r="DN187" s="161">
        <v>6075</v>
      </c>
      <c r="DO187" s="116">
        <v>2638</v>
      </c>
      <c r="DP187" s="160">
        <v>-14</v>
      </c>
      <c r="DR187" s="161">
        <v>3423</v>
      </c>
      <c r="DS187" s="117">
        <v>-8</v>
      </c>
      <c r="DT187" s="116">
        <v>3</v>
      </c>
      <c r="DU187" s="116">
        <v>5</v>
      </c>
      <c r="DV187" s="116">
        <v>-27</v>
      </c>
      <c r="DW187" s="160">
        <v>3386</v>
      </c>
      <c r="DX187" s="160">
        <v>2197</v>
      </c>
      <c r="DY187" s="116">
        <v>6111</v>
      </c>
      <c r="DZ187" s="150"/>
      <c r="EA187" s="117">
        <v>-21</v>
      </c>
      <c r="EB187" s="116">
        <v>-1669</v>
      </c>
      <c r="EC187" s="159">
        <v>4420</v>
      </c>
      <c r="EE187" s="125"/>
      <c r="EF187" s="161"/>
      <c r="EG187" s="124"/>
      <c r="EH187" s="253">
        <v>21.75</v>
      </c>
      <c r="EI187" s="130"/>
      <c r="EJ187" s="125">
        <v>33</v>
      </c>
      <c r="EK187" s="116"/>
      <c r="EL187" s="159"/>
      <c r="EN187" s="116"/>
      <c r="EO187" s="116"/>
      <c r="EP187" s="159"/>
      <c r="EQ187" s="159">
        <v>-1842</v>
      </c>
      <c r="ER187" s="116">
        <v>41</v>
      </c>
      <c r="ES187" s="116">
        <v>259</v>
      </c>
      <c r="ET187" s="160">
        <v>-2181</v>
      </c>
      <c r="EU187" s="116">
        <v>97</v>
      </c>
      <c r="EV187" s="116">
        <v>144</v>
      </c>
      <c r="EW187" s="160">
        <v>-1888</v>
      </c>
      <c r="EX187" s="160">
        <v>81</v>
      </c>
      <c r="EY187" s="160">
        <v>116</v>
      </c>
      <c r="EZ187" s="116">
        <v>1067</v>
      </c>
      <c r="FA187" s="116">
        <v>-71</v>
      </c>
      <c r="FB187" s="116">
        <v>991</v>
      </c>
      <c r="FC187" s="160">
        <v>15</v>
      </c>
      <c r="FD187" s="116">
        <v>1067</v>
      </c>
      <c r="FE187" s="116">
        <v>-38</v>
      </c>
      <c r="FF187" s="3">
        <v>25427</v>
      </c>
      <c r="FG187" s="3">
        <v>23599</v>
      </c>
      <c r="FH187" s="3">
        <v>1828</v>
      </c>
      <c r="FI187" s="3">
        <v>0</v>
      </c>
      <c r="FJ187" s="125">
        <v>24744</v>
      </c>
      <c r="FK187" s="160">
        <v>22871</v>
      </c>
      <c r="FL187" s="125">
        <v>1873</v>
      </c>
      <c r="FM187" s="116">
        <v>20</v>
      </c>
      <c r="FN187" s="125">
        <v>24104</v>
      </c>
      <c r="FO187" s="116">
        <v>22231</v>
      </c>
      <c r="FP187" s="116">
        <v>1873</v>
      </c>
      <c r="FQ187" s="116">
        <v>-21</v>
      </c>
      <c r="FR187" s="153">
        <v>633</v>
      </c>
      <c r="FS187" s="153">
        <v>515</v>
      </c>
      <c r="FT187" s="276">
        <v>469</v>
      </c>
      <c r="FU187" s="3">
        <v>1595</v>
      </c>
      <c r="FV187" s="159">
        <v>1577</v>
      </c>
      <c r="FW187" s="170"/>
      <c r="FZ187" s="155"/>
      <c r="GA187" s="2"/>
      <c r="GD187" s="163"/>
      <c r="GE187" s="2"/>
      <c r="GF187" s="2"/>
    </row>
    <row r="188" spans="1:188" ht="14.5" x14ac:dyDescent="0.35">
      <c r="A188" s="72">
        <v>598</v>
      </c>
      <c r="B188" s="70" t="s">
        <v>180</v>
      </c>
      <c r="C188" s="158">
        <v>19278</v>
      </c>
      <c r="D188" s="171"/>
      <c r="E188" s="128">
        <v>2.3812510049847244</v>
      </c>
      <c r="F188" s="128">
        <v>60.408928607049532</v>
      </c>
      <c r="G188" s="129">
        <v>-6639.2779333955805</v>
      </c>
      <c r="H188" s="216"/>
      <c r="I188" s="172"/>
      <c r="J188" s="218"/>
      <c r="K188" s="128">
        <v>49.892969859184063</v>
      </c>
      <c r="L188" s="129">
        <v>277.20717916796349</v>
      </c>
      <c r="M188" s="129">
        <v>7.3532782435611317</v>
      </c>
      <c r="N188" s="129">
        <v>13759.933603070858</v>
      </c>
      <c r="O188" s="129"/>
      <c r="P188" s="117">
        <v>132822</v>
      </c>
      <c r="Q188" s="161">
        <v>241372</v>
      </c>
      <c r="R188" s="161">
        <v>4763</v>
      </c>
      <c r="S188" s="161">
        <v>-103787</v>
      </c>
      <c r="T188" s="124">
        <v>78349</v>
      </c>
      <c r="U188" s="124">
        <v>39484</v>
      </c>
      <c r="V188" s="136"/>
      <c r="X188" s="116">
        <v>-139</v>
      </c>
      <c r="Y188" s="116">
        <v>746</v>
      </c>
      <c r="Z188" s="161">
        <v>14653</v>
      </c>
      <c r="AA188" s="116">
        <v>14460</v>
      </c>
      <c r="AB188" s="116">
        <v>0</v>
      </c>
      <c r="AD188" s="161">
        <v>193</v>
      </c>
      <c r="AE188" s="116">
        <v>-2</v>
      </c>
      <c r="AF188" s="116">
        <v>67</v>
      </c>
      <c r="AG188" s="116">
        <v>0</v>
      </c>
      <c r="AH188" s="116">
        <v>35</v>
      </c>
      <c r="AI188" s="160">
        <v>293</v>
      </c>
      <c r="AJ188" s="161">
        <v>96307</v>
      </c>
      <c r="AK188" s="161">
        <v>9128</v>
      </c>
      <c r="AL188" s="150"/>
      <c r="AM188" s="161">
        <v>-2447</v>
      </c>
      <c r="AN188" s="161">
        <v>-6063</v>
      </c>
      <c r="AO188" s="160">
        <v>-5884</v>
      </c>
      <c r="AQ188" s="160"/>
      <c r="AR188" s="117"/>
      <c r="AS188" s="117"/>
      <c r="AT188" s="99">
        <v>21.25</v>
      </c>
      <c r="AU188" s="130"/>
      <c r="AV188" s="262">
        <v>60</v>
      </c>
      <c r="AW188" s="267">
        <v>19208</v>
      </c>
      <c r="AX188" s="124"/>
      <c r="AY188" s="255">
        <v>-2.9488244913277752E-4</v>
      </c>
      <c r="AZ188" s="259">
        <v>65.563981375598601</v>
      </c>
      <c r="BA188" s="160">
        <v>-7255.2061640982929</v>
      </c>
      <c r="BB188" s="130"/>
      <c r="BC188" s="130"/>
      <c r="BD188" s="130"/>
      <c r="BE188" s="128">
        <v>45.361249728791492</v>
      </c>
      <c r="BF188" s="160">
        <v>324.60433152852983</v>
      </c>
      <c r="BG188" s="129">
        <v>5.1372300107192421</v>
      </c>
      <c r="BH188" s="131">
        <v>19767.336526447314</v>
      </c>
      <c r="BI188" s="124"/>
      <c r="BJ188" s="117">
        <v>135795</v>
      </c>
      <c r="BK188" s="117">
        <v>250767</v>
      </c>
      <c r="BL188" s="161">
        <v>-5366</v>
      </c>
      <c r="BM188" s="161">
        <v>-120338</v>
      </c>
      <c r="BN188" s="117">
        <v>79996</v>
      </c>
      <c r="BO188" s="117">
        <v>40432</v>
      </c>
      <c r="BP188" s="136"/>
      <c r="BR188" s="160">
        <v>-119</v>
      </c>
      <c r="BS188" s="160">
        <v>-412</v>
      </c>
      <c r="BT188" s="161">
        <v>-441</v>
      </c>
      <c r="BU188" s="125">
        <v>12046</v>
      </c>
      <c r="BV188" s="160">
        <v>50</v>
      </c>
      <c r="BW188" s="117"/>
      <c r="BX188" s="161">
        <v>-12437</v>
      </c>
      <c r="BY188" s="160">
        <v>-1</v>
      </c>
      <c r="BZ188" s="160">
        <v>93</v>
      </c>
      <c r="CA188" s="160">
        <v>216</v>
      </c>
      <c r="CB188" s="160">
        <v>77</v>
      </c>
      <c r="CC188" s="160">
        <v>-12484</v>
      </c>
      <c r="CD188" s="160">
        <v>82444</v>
      </c>
      <c r="CE188" s="116">
        <v>4735</v>
      </c>
      <c r="CF188" s="150"/>
      <c r="CG188" s="161">
        <v>-4317</v>
      </c>
      <c r="CH188" s="160">
        <v>-111754</v>
      </c>
      <c r="CI188" s="159">
        <v>-9928</v>
      </c>
      <c r="CK188" s="124"/>
      <c r="CL188" s="161"/>
      <c r="CM188" s="124"/>
      <c r="CN188" s="265">
        <v>21.25</v>
      </c>
      <c r="CO188" s="130"/>
      <c r="CP188" s="116">
        <v>276</v>
      </c>
      <c r="CQ188" s="267">
        <v>19066</v>
      </c>
      <c r="CR188" s="124"/>
      <c r="CS188" s="268">
        <v>71.488687782805428</v>
      </c>
      <c r="CT188" s="269">
        <v>66.150458436948313</v>
      </c>
      <c r="CU188" s="160">
        <v>-7670.775201930137</v>
      </c>
      <c r="CV188" s="130"/>
      <c r="CW188" s="130"/>
      <c r="CX188" s="130"/>
      <c r="CY188" s="269">
        <v>44.697903449942601</v>
      </c>
      <c r="CZ188" s="125">
        <v>405.32885765236546</v>
      </c>
      <c r="DA188" s="125">
        <v>10.45466170011675</v>
      </c>
      <c r="DB188" s="273">
        <v>14151.106682051819</v>
      </c>
      <c r="DC188" s="124"/>
      <c r="DD188" s="117">
        <v>132040</v>
      </c>
      <c r="DE188" s="117">
        <v>251867</v>
      </c>
      <c r="DF188" s="117">
        <v>4630</v>
      </c>
      <c r="DG188" s="117">
        <v>-115197</v>
      </c>
      <c r="DH188" s="117">
        <v>82383</v>
      </c>
      <c r="DI188" s="117">
        <v>48972</v>
      </c>
      <c r="DJ188" s="136"/>
      <c r="DL188" s="160">
        <v>-39</v>
      </c>
      <c r="DM188" s="160">
        <v>-538</v>
      </c>
      <c r="DN188" s="161">
        <v>15581</v>
      </c>
      <c r="DO188" s="116">
        <v>11523</v>
      </c>
      <c r="DP188" s="160">
        <v>166</v>
      </c>
      <c r="DQ188" s="117"/>
      <c r="DR188" s="161">
        <v>4224</v>
      </c>
      <c r="DS188" s="116">
        <v>9</v>
      </c>
      <c r="DT188" s="116">
        <v>-12</v>
      </c>
      <c r="DU188" s="116">
        <v>0</v>
      </c>
      <c r="DV188" s="116">
        <v>-115</v>
      </c>
      <c r="DW188" s="160">
        <v>4106</v>
      </c>
      <c r="DX188" s="160">
        <v>84811</v>
      </c>
      <c r="DY188" s="116">
        <v>9754</v>
      </c>
      <c r="DZ188" s="150"/>
      <c r="EA188" s="117">
        <v>2140</v>
      </c>
      <c r="EB188" s="116">
        <v>-3</v>
      </c>
      <c r="EC188" s="159">
        <v>-5873</v>
      </c>
      <c r="EE188" s="125"/>
      <c r="EF188" s="161"/>
      <c r="EG188" s="124"/>
      <c r="EH188" s="253">
        <v>21.25</v>
      </c>
      <c r="EI188" s="130"/>
      <c r="EJ188" s="125">
        <v>217</v>
      </c>
      <c r="EK188" s="116"/>
      <c r="EL188" s="159"/>
      <c r="EN188" s="116"/>
      <c r="EO188" s="116"/>
      <c r="EP188" s="159"/>
      <c r="EQ188" s="159">
        <v>-16815</v>
      </c>
      <c r="ER188" s="116">
        <v>538</v>
      </c>
      <c r="ES188" s="116">
        <v>1265</v>
      </c>
      <c r="ET188" s="160">
        <v>-15699</v>
      </c>
      <c r="EU188" s="116">
        <v>292</v>
      </c>
      <c r="EV188" s="116">
        <v>744</v>
      </c>
      <c r="EW188" s="160">
        <v>-17091</v>
      </c>
      <c r="EX188" s="160">
        <v>670</v>
      </c>
      <c r="EY188" s="160">
        <v>794</v>
      </c>
      <c r="EZ188" s="116">
        <v>0</v>
      </c>
      <c r="FA188" s="116">
        <v>9505</v>
      </c>
      <c r="FB188" s="116">
        <v>0</v>
      </c>
      <c r="FC188" s="160">
        <v>123577</v>
      </c>
      <c r="FD188" s="116">
        <v>7306</v>
      </c>
      <c r="FE188" s="116">
        <v>3263</v>
      </c>
      <c r="FF188" s="3">
        <v>111754</v>
      </c>
      <c r="FG188" s="3">
        <v>55623</v>
      </c>
      <c r="FH188" s="3">
        <v>56131</v>
      </c>
      <c r="FI188" s="3">
        <v>937</v>
      </c>
      <c r="FJ188" s="125">
        <v>123577</v>
      </c>
      <c r="FK188" s="160">
        <v>49868</v>
      </c>
      <c r="FL188" s="125">
        <v>73709</v>
      </c>
      <c r="FM188" s="116">
        <v>1102</v>
      </c>
      <c r="FN188" s="125">
        <v>134143</v>
      </c>
      <c r="FO188" s="116">
        <v>57175</v>
      </c>
      <c r="FP188" s="116">
        <v>76968</v>
      </c>
      <c r="FQ188" s="116">
        <v>2140</v>
      </c>
      <c r="FR188" s="153">
        <v>2629</v>
      </c>
      <c r="FS188" s="153">
        <v>4211</v>
      </c>
      <c r="FT188" s="276">
        <v>4754</v>
      </c>
      <c r="FU188" s="3">
        <v>19543</v>
      </c>
      <c r="FV188" s="159">
        <v>27094</v>
      </c>
      <c r="FW188" s="170"/>
      <c r="FZ188" s="155"/>
      <c r="GA188" s="2"/>
      <c r="GD188" s="163"/>
      <c r="GE188" s="2"/>
      <c r="GF188" s="2"/>
    </row>
    <row r="189" spans="1:188" ht="14.5" x14ac:dyDescent="0.35">
      <c r="A189" s="72">
        <v>601</v>
      </c>
      <c r="B189" s="70" t="s">
        <v>181</v>
      </c>
      <c r="C189" s="158">
        <v>4053</v>
      </c>
      <c r="D189" s="171"/>
      <c r="E189" s="128">
        <v>1.1944792973651193</v>
      </c>
      <c r="F189" s="128">
        <v>67.917848272946642</v>
      </c>
      <c r="G189" s="129">
        <v>-5261.2879348630649</v>
      </c>
      <c r="H189" s="216"/>
      <c r="I189" s="172"/>
      <c r="J189" s="218"/>
      <c r="K189" s="128">
        <v>40.984002050632533</v>
      </c>
      <c r="L189" s="129">
        <v>2955.3417221811005</v>
      </c>
      <c r="M189" s="129">
        <v>69.756202632628643</v>
      </c>
      <c r="N189" s="129">
        <v>15463.853935356527</v>
      </c>
      <c r="O189" s="129"/>
      <c r="P189" s="117">
        <v>27306</v>
      </c>
      <c r="Q189" s="161">
        <v>55101</v>
      </c>
      <c r="R189" s="161">
        <v>0</v>
      </c>
      <c r="S189" s="161">
        <v>-27795</v>
      </c>
      <c r="T189" s="124">
        <v>11794</v>
      </c>
      <c r="U189" s="124">
        <v>17673</v>
      </c>
      <c r="V189" s="136"/>
      <c r="X189" s="116">
        <v>30</v>
      </c>
      <c r="Y189" s="116">
        <v>61</v>
      </c>
      <c r="Z189" s="161">
        <v>1763</v>
      </c>
      <c r="AA189" s="116">
        <v>2532</v>
      </c>
      <c r="AB189" s="117">
        <v>0</v>
      </c>
      <c r="AD189" s="161">
        <v>-769</v>
      </c>
      <c r="AE189" s="116">
        <v>0</v>
      </c>
      <c r="AF189" s="116">
        <v>-58</v>
      </c>
      <c r="AG189" s="116">
        <v>0</v>
      </c>
      <c r="AH189" s="116">
        <v>0</v>
      </c>
      <c r="AI189" s="160">
        <v>-827</v>
      </c>
      <c r="AJ189" s="161">
        <v>13141</v>
      </c>
      <c r="AK189" s="161">
        <v>1866</v>
      </c>
      <c r="AL189" s="150"/>
      <c r="AM189" s="161">
        <v>-1395</v>
      </c>
      <c r="AN189" s="161">
        <v>-1453</v>
      </c>
      <c r="AO189" s="160">
        <v>-3745</v>
      </c>
      <c r="AQ189" s="160"/>
      <c r="AR189" s="117"/>
      <c r="AS189" s="117"/>
      <c r="AT189" s="99">
        <v>21</v>
      </c>
      <c r="AU189" s="130"/>
      <c r="AV189" s="262">
        <v>168</v>
      </c>
      <c r="AW189" s="267">
        <v>4032</v>
      </c>
      <c r="AX189" s="124"/>
      <c r="AY189" s="255">
        <v>0.65275142314990509</v>
      </c>
      <c r="AZ189" s="259">
        <v>84.329346521541197</v>
      </c>
      <c r="BA189" s="160">
        <v>-6307.291666666667</v>
      </c>
      <c r="BB189" s="130"/>
      <c r="BC189" s="130"/>
      <c r="BD189" s="130"/>
      <c r="BE189" s="128">
        <v>37.852073048123529</v>
      </c>
      <c r="BF189" s="160">
        <v>3318.7003968253966</v>
      </c>
      <c r="BG189" s="129">
        <v>80.19020542920029</v>
      </c>
      <c r="BH189" s="131">
        <v>13521.825396825398</v>
      </c>
      <c r="BI189" s="124"/>
      <c r="BJ189" s="117">
        <v>18250</v>
      </c>
      <c r="BK189" s="117">
        <v>47638</v>
      </c>
      <c r="BL189" s="161">
        <v>0</v>
      </c>
      <c r="BM189" s="161">
        <v>-29388</v>
      </c>
      <c r="BN189" s="117">
        <v>12272</v>
      </c>
      <c r="BO189" s="117">
        <v>17804</v>
      </c>
      <c r="BP189" s="136"/>
      <c r="BR189" s="160">
        <v>163</v>
      </c>
      <c r="BS189" s="160">
        <v>45</v>
      </c>
      <c r="BT189" s="161">
        <v>896</v>
      </c>
      <c r="BU189" s="125">
        <v>2600</v>
      </c>
      <c r="BV189" s="161">
        <v>224</v>
      </c>
      <c r="BW189" s="117"/>
      <c r="BX189" s="161">
        <v>-1480</v>
      </c>
      <c r="BY189" s="160">
        <v>0</v>
      </c>
      <c r="BZ189" s="160">
        <v>0</v>
      </c>
      <c r="CA189" s="160">
        <v>0</v>
      </c>
      <c r="CB189" s="160">
        <v>0</v>
      </c>
      <c r="CC189" s="160">
        <v>-1480</v>
      </c>
      <c r="CD189" s="160">
        <v>11186</v>
      </c>
      <c r="CE189" s="116">
        <v>1155</v>
      </c>
      <c r="CF189" s="150"/>
      <c r="CG189" s="161">
        <v>3304</v>
      </c>
      <c r="CH189" s="160">
        <v>-1445</v>
      </c>
      <c r="CI189" s="159">
        <v>-4075</v>
      </c>
      <c r="CK189" s="124"/>
      <c r="CL189" s="161"/>
      <c r="CM189" s="124"/>
      <c r="CN189" s="265">
        <v>21</v>
      </c>
      <c r="CO189" s="130"/>
      <c r="CP189" s="116">
        <v>233</v>
      </c>
      <c r="CQ189" s="267">
        <v>3931</v>
      </c>
      <c r="CR189" s="124"/>
      <c r="CS189" s="268">
        <v>2.1585295807007467</v>
      </c>
      <c r="CT189" s="269">
        <v>95.617632491332344</v>
      </c>
      <c r="CU189" s="160">
        <v>-7743.3223098448234</v>
      </c>
      <c r="CV189" s="130"/>
      <c r="CW189" s="130"/>
      <c r="CX189" s="130"/>
      <c r="CY189" s="269">
        <v>30.648382938334915</v>
      </c>
      <c r="CZ189" s="125">
        <v>3744.8486390231492</v>
      </c>
      <c r="DA189" s="125">
        <v>100.55892426028858</v>
      </c>
      <c r="DB189" s="273">
        <v>13592.724497583313</v>
      </c>
      <c r="DC189" s="124"/>
      <c r="DD189" s="117">
        <v>18423</v>
      </c>
      <c r="DE189" s="117">
        <v>46889</v>
      </c>
      <c r="DF189" s="117">
        <v>0</v>
      </c>
      <c r="DG189" s="117">
        <v>-28466</v>
      </c>
      <c r="DH189" s="117">
        <v>12404</v>
      </c>
      <c r="DI189" s="117">
        <v>19648</v>
      </c>
      <c r="DJ189" s="136"/>
      <c r="DL189" s="160">
        <v>-14</v>
      </c>
      <c r="DM189" s="160">
        <v>28</v>
      </c>
      <c r="DN189" s="161">
        <v>3600</v>
      </c>
      <c r="DO189" s="116">
        <v>2608</v>
      </c>
      <c r="DP189" s="161">
        <v>-4443</v>
      </c>
      <c r="DQ189" s="117"/>
      <c r="DR189" s="161">
        <v>-3451</v>
      </c>
      <c r="DS189" s="116">
        <v>0</v>
      </c>
      <c r="DT189" s="116">
        <v>267</v>
      </c>
      <c r="DU189" s="116">
        <v>0</v>
      </c>
      <c r="DV189" s="116">
        <v>0</v>
      </c>
      <c r="DW189" s="160">
        <v>-3184</v>
      </c>
      <c r="DX189" s="160">
        <v>7678</v>
      </c>
      <c r="DY189" s="116">
        <v>-892</v>
      </c>
      <c r="DZ189" s="150"/>
      <c r="EA189" s="117">
        <v>-1094</v>
      </c>
      <c r="EB189" s="116">
        <v>-1583</v>
      </c>
      <c r="EC189" s="159">
        <v>-5349</v>
      </c>
      <c r="EE189" s="125"/>
      <c r="EF189" s="161"/>
      <c r="EG189" s="124"/>
      <c r="EH189" s="253">
        <v>21</v>
      </c>
      <c r="EI189" s="130"/>
      <c r="EJ189" s="125">
        <v>182</v>
      </c>
      <c r="EK189" s="116"/>
      <c r="EL189" s="159"/>
      <c r="EN189" s="116"/>
      <c r="EO189" s="116"/>
      <c r="EP189" s="159"/>
      <c r="EQ189" s="159">
        <v>-5941</v>
      </c>
      <c r="ER189" s="116">
        <v>253</v>
      </c>
      <c r="ES189" s="116">
        <v>77</v>
      </c>
      <c r="ET189" s="160">
        <v>-5262</v>
      </c>
      <c r="EU189" s="116">
        <v>2</v>
      </c>
      <c r="EV189" s="116">
        <v>30</v>
      </c>
      <c r="EW189" s="160">
        <v>-4760</v>
      </c>
      <c r="EX189" s="160">
        <v>25</v>
      </c>
      <c r="EY189" s="160">
        <v>278</v>
      </c>
      <c r="EZ189" s="116">
        <v>2540</v>
      </c>
      <c r="FA189" s="116">
        <v>1762</v>
      </c>
      <c r="FB189" s="116">
        <v>5810</v>
      </c>
      <c r="FC189" s="160">
        <v>238</v>
      </c>
      <c r="FD189" s="116">
        <v>6339</v>
      </c>
      <c r="FE189" s="116">
        <v>1422</v>
      </c>
      <c r="FF189" s="3">
        <v>30590</v>
      </c>
      <c r="FG189" s="3">
        <v>23935</v>
      </c>
      <c r="FH189" s="3">
        <v>6655</v>
      </c>
      <c r="FI189" s="3">
        <v>0</v>
      </c>
      <c r="FJ189" s="125">
        <v>35195</v>
      </c>
      <c r="FK189" s="160">
        <v>28239</v>
      </c>
      <c r="FL189" s="125">
        <v>6956</v>
      </c>
      <c r="FM189" s="116">
        <v>0</v>
      </c>
      <c r="FN189" s="125">
        <v>41481</v>
      </c>
      <c r="FO189" s="116">
        <v>32664</v>
      </c>
      <c r="FP189" s="116">
        <v>8817</v>
      </c>
      <c r="FQ189" s="116">
        <v>-1094</v>
      </c>
      <c r="FR189" s="153">
        <v>7617</v>
      </c>
      <c r="FS189" s="153">
        <v>7402</v>
      </c>
      <c r="FT189" s="276">
        <v>1709</v>
      </c>
      <c r="FU189" s="3">
        <v>116</v>
      </c>
      <c r="FV189" s="159">
        <v>172</v>
      </c>
      <c r="FW189" s="170"/>
      <c r="FZ189" s="155"/>
      <c r="GA189" s="2"/>
      <c r="GD189" s="163"/>
      <c r="GE189" s="2"/>
      <c r="GF189" s="2"/>
    </row>
    <row r="190" spans="1:188" ht="14.5" x14ac:dyDescent="0.35">
      <c r="A190" s="72">
        <v>604</v>
      </c>
      <c r="B190" s="70" t="s">
        <v>182</v>
      </c>
      <c r="C190" s="158">
        <v>19368</v>
      </c>
      <c r="D190" s="171"/>
      <c r="E190" s="128">
        <v>0.9559067159423984</v>
      </c>
      <c r="F190" s="128">
        <v>50.692218601018126</v>
      </c>
      <c r="G190" s="129">
        <v>-3219.0210656753407</v>
      </c>
      <c r="H190" s="216"/>
      <c r="I190" s="172"/>
      <c r="J190" s="218"/>
      <c r="K190" s="128">
        <v>52.871148459383754</v>
      </c>
      <c r="L190" s="129">
        <v>256.50557620817841</v>
      </c>
      <c r="M190" s="129">
        <v>10.912964456373901</v>
      </c>
      <c r="N190" s="129">
        <v>8579.2028087567123</v>
      </c>
      <c r="O190" s="129"/>
      <c r="P190" s="117">
        <v>51067</v>
      </c>
      <c r="Q190" s="161">
        <v>141103</v>
      </c>
      <c r="R190" s="161">
        <v>3</v>
      </c>
      <c r="S190" s="161">
        <v>-90033</v>
      </c>
      <c r="T190" s="124">
        <v>86066</v>
      </c>
      <c r="U190" s="124">
        <v>11375</v>
      </c>
      <c r="V190" s="136"/>
      <c r="X190" s="116">
        <v>-387</v>
      </c>
      <c r="Y190" s="116">
        <v>90</v>
      </c>
      <c r="Z190" s="161">
        <v>7111</v>
      </c>
      <c r="AA190" s="116">
        <v>9391</v>
      </c>
      <c r="AB190" s="116">
        <v>0</v>
      </c>
      <c r="AD190" s="161">
        <v>-2280</v>
      </c>
      <c r="AE190" s="117">
        <v>46</v>
      </c>
      <c r="AF190" s="117">
        <v>1</v>
      </c>
      <c r="AG190" s="116">
        <v>-36</v>
      </c>
      <c r="AH190" s="116">
        <v>0</v>
      </c>
      <c r="AI190" s="160">
        <v>-2269</v>
      </c>
      <c r="AJ190" s="161">
        <v>53915</v>
      </c>
      <c r="AK190" s="161">
        <v>1089</v>
      </c>
      <c r="AL190" s="150"/>
      <c r="AM190" s="161">
        <v>-161</v>
      </c>
      <c r="AN190" s="161">
        <v>-7457</v>
      </c>
      <c r="AO190" s="160">
        <v>-9732</v>
      </c>
      <c r="AQ190" s="160"/>
      <c r="AR190" s="117"/>
      <c r="AS190" s="117"/>
      <c r="AT190" s="99">
        <v>20</v>
      </c>
      <c r="AU190" s="130"/>
      <c r="AV190" s="262">
        <v>193</v>
      </c>
      <c r="AW190" s="267">
        <v>19623</v>
      </c>
      <c r="AX190" s="124"/>
      <c r="AY190" s="255">
        <v>0.9611685940353013</v>
      </c>
      <c r="AZ190" s="259">
        <v>55.106964158072095</v>
      </c>
      <c r="BA190" s="160">
        <v>-3721.3473984609896</v>
      </c>
      <c r="BB190" s="130"/>
      <c r="BC190" s="130"/>
      <c r="BD190" s="130"/>
      <c r="BE190" s="128">
        <v>50.03400563521955</v>
      </c>
      <c r="BF190" s="160">
        <v>304.89731437598738</v>
      </c>
      <c r="BG190" s="129">
        <v>10.260571389770664</v>
      </c>
      <c r="BH190" s="131">
        <v>9006.1152728940542</v>
      </c>
      <c r="BI190" s="124"/>
      <c r="BJ190" s="117">
        <v>53886</v>
      </c>
      <c r="BK190" s="117">
        <v>149198</v>
      </c>
      <c r="BL190" s="161">
        <v>20</v>
      </c>
      <c r="BM190" s="161">
        <v>-95292</v>
      </c>
      <c r="BN190" s="117">
        <v>90251</v>
      </c>
      <c r="BO190" s="117">
        <v>12551</v>
      </c>
      <c r="BP190" s="136"/>
      <c r="BR190" s="160">
        <v>-355</v>
      </c>
      <c r="BS190" s="160">
        <v>383</v>
      </c>
      <c r="BT190" s="161">
        <v>7538</v>
      </c>
      <c r="BU190" s="125">
        <v>9034</v>
      </c>
      <c r="BV190" s="160">
        <v>0</v>
      </c>
      <c r="BX190" s="161">
        <v>-1496</v>
      </c>
      <c r="BY190" s="161">
        <v>50</v>
      </c>
      <c r="BZ190" s="160">
        <v>0</v>
      </c>
      <c r="CA190" s="160">
        <v>27</v>
      </c>
      <c r="CB190" s="160">
        <v>-4</v>
      </c>
      <c r="CC190" s="160">
        <v>-1477</v>
      </c>
      <c r="CD190" s="160">
        <v>52592</v>
      </c>
      <c r="CE190" s="116">
        <v>-251</v>
      </c>
      <c r="CF190" s="150"/>
      <c r="CG190" s="160">
        <v>622</v>
      </c>
      <c r="CH190" s="160">
        <v>-7857</v>
      </c>
      <c r="CI190" s="159">
        <v>-11508</v>
      </c>
      <c r="CK190" s="124"/>
      <c r="CL190" s="161"/>
      <c r="CM190" s="124"/>
      <c r="CN190" s="265">
        <v>20</v>
      </c>
      <c r="CO190" s="130"/>
      <c r="CP190" s="116">
        <v>167</v>
      </c>
      <c r="CQ190" s="267">
        <v>19803</v>
      </c>
      <c r="CR190" s="124"/>
      <c r="CS190" s="268">
        <v>1.6063293690788147</v>
      </c>
      <c r="CT190" s="269">
        <v>56.035707520363708</v>
      </c>
      <c r="CU190" s="160">
        <v>-3846.8918850679188</v>
      </c>
      <c r="CV190" s="130"/>
      <c r="CW190" s="130"/>
      <c r="CX190" s="130"/>
      <c r="CY190" s="269">
        <v>48.549532991541184</v>
      </c>
      <c r="CZ190" s="125">
        <v>515.88143210624651</v>
      </c>
      <c r="DA190" s="125">
        <v>20.499846065883801</v>
      </c>
      <c r="DB190" s="273">
        <v>9185.2749583396453</v>
      </c>
      <c r="DC190" s="124"/>
      <c r="DD190" s="117">
        <v>51351</v>
      </c>
      <c r="DE190" s="117">
        <v>153461</v>
      </c>
      <c r="DF190" s="117">
        <v>45</v>
      </c>
      <c r="DG190" s="117">
        <v>-102065</v>
      </c>
      <c r="DH190" s="117">
        <v>96295</v>
      </c>
      <c r="DI190" s="117">
        <v>21282</v>
      </c>
      <c r="DJ190" s="136"/>
      <c r="DL190" s="160">
        <v>-745</v>
      </c>
      <c r="DM190" s="160">
        <v>423</v>
      </c>
      <c r="DN190" s="161">
        <v>15190</v>
      </c>
      <c r="DO190" s="116">
        <v>12304</v>
      </c>
      <c r="DP190" s="160">
        <v>0</v>
      </c>
      <c r="DR190" s="161">
        <v>2886</v>
      </c>
      <c r="DS190" s="117">
        <v>-71</v>
      </c>
      <c r="DT190" s="116">
        <v>0</v>
      </c>
      <c r="DU190" s="116">
        <v>88</v>
      </c>
      <c r="DV190" s="116">
        <v>-1</v>
      </c>
      <c r="DW190" s="160">
        <v>2726</v>
      </c>
      <c r="DX190" s="160">
        <v>55316</v>
      </c>
      <c r="DY190" s="116">
        <v>10309</v>
      </c>
      <c r="DZ190" s="150"/>
      <c r="EA190" s="116">
        <v>-925</v>
      </c>
      <c r="EB190" s="116">
        <v>-9174</v>
      </c>
      <c r="EC190" s="159">
        <v>-3378</v>
      </c>
      <c r="EE190" s="125"/>
      <c r="EF190" s="161"/>
      <c r="EG190" s="124"/>
      <c r="EH190" s="253">
        <v>20.5</v>
      </c>
      <c r="EI190" s="130"/>
      <c r="EJ190" s="125">
        <v>233</v>
      </c>
      <c r="EK190" s="116"/>
      <c r="EL190" s="159"/>
      <c r="EN190" s="116"/>
      <c r="EO190" s="116"/>
      <c r="EP190" s="159"/>
      <c r="EQ190" s="159">
        <v>-17023</v>
      </c>
      <c r="ER190" s="116">
        <v>9</v>
      </c>
      <c r="ES190" s="116">
        <v>6193</v>
      </c>
      <c r="ET190" s="160">
        <v>-19135</v>
      </c>
      <c r="EU190" s="116">
        <v>12</v>
      </c>
      <c r="EV190" s="116">
        <v>7866</v>
      </c>
      <c r="EW190" s="160">
        <v>-18473</v>
      </c>
      <c r="EX190" s="160">
        <v>20</v>
      </c>
      <c r="EY190" s="160">
        <v>4766</v>
      </c>
      <c r="EZ190" s="116">
        <v>9409</v>
      </c>
      <c r="FA190" s="116">
        <v>4979</v>
      </c>
      <c r="FB190" s="116">
        <v>19617</v>
      </c>
      <c r="FC190" s="160">
        <v>2</v>
      </c>
      <c r="FD190" s="116">
        <v>18790</v>
      </c>
      <c r="FE190" s="116">
        <v>-5163</v>
      </c>
      <c r="FF190" s="3">
        <v>49168</v>
      </c>
      <c r="FG190" s="3">
        <v>36343</v>
      </c>
      <c r="FH190" s="3">
        <v>12825</v>
      </c>
      <c r="FI190" s="3">
        <v>19</v>
      </c>
      <c r="FJ190" s="125">
        <v>60930</v>
      </c>
      <c r="FK190" s="160">
        <v>46782</v>
      </c>
      <c r="FL190" s="125">
        <v>14148</v>
      </c>
      <c r="FM190" s="116">
        <v>17</v>
      </c>
      <c r="FN190" s="125">
        <v>65584</v>
      </c>
      <c r="FO190" s="116">
        <v>55748</v>
      </c>
      <c r="FP190" s="116">
        <v>9836</v>
      </c>
      <c r="FQ190" s="116">
        <v>-925</v>
      </c>
      <c r="FR190" s="153">
        <v>38004</v>
      </c>
      <c r="FS190" s="153">
        <v>23230</v>
      </c>
      <c r="FT190" s="276">
        <v>22305</v>
      </c>
      <c r="FU190" s="3">
        <v>13476</v>
      </c>
      <c r="FV190" s="159">
        <v>11885</v>
      </c>
      <c r="FW190" s="170"/>
      <c r="FZ190" s="155"/>
      <c r="GA190" s="2"/>
      <c r="GD190" s="163"/>
      <c r="GE190" s="2"/>
      <c r="GF190" s="2"/>
    </row>
    <row r="191" spans="1:188" ht="14.5" x14ac:dyDescent="0.35">
      <c r="A191" s="72">
        <v>607</v>
      </c>
      <c r="B191" s="70" t="s">
        <v>183</v>
      </c>
      <c r="C191" s="158">
        <v>4307</v>
      </c>
      <c r="D191" s="171"/>
      <c r="E191" s="128">
        <v>1.0476588628762542</v>
      </c>
      <c r="F191" s="128">
        <v>22.673733804475855</v>
      </c>
      <c r="G191" s="129">
        <v>-517.76178314371953</v>
      </c>
      <c r="H191" s="216"/>
      <c r="I191" s="172"/>
      <c r="J191" s="218"/>
      <c r="K191" s="128">
        <v>68.73522857721656</v>
      </c>
      <c r="L191" s="129">
        <v>1882.7490132342698</v>
      </c>
      <c r="M191" s="129">
        <v>45.694028468212558</v>
      </c>
      <c r="N191" s="129">
        <v>15039.238449036451</v>
      </c>
      <c r="O191" s="129"/>
      <c r="P191" s="117">
        <v>32003</v>
      </c>
      <c r="Q191" s="161">
        <v>56688</v>
      </c>
      <c r="R191" s="161">
        <v>0</v>
      </c>
      <c r="S191" s="161">
        <v>-24685</v>
      </c>
      <c r="T191" s="124">
        <v>11248</v>
      </c>
      <c r="U191" s="124">
        <v>14481</v>
      </c>
      <c r="V191" s="136"/>
      <c r="X191" s="116">
        <v>-47</v>
      </c>
      <c r="Y191" s="116">
        <v>193</v>
      </c>
      <c r="Z191" s="161">
        <v>1190</v>
      </c>
      <c r="AA191" s="116">
        <v>2094</v>
      </c>
      <c r="AB191" s="117">
        <v>0</v>
      </c>
      <c r="AD191" s="161">
        <v>-904</v>
      </c>
      <c r="AE191" s="116">
        <v>0</v>
      </c>
      <c r="AF191" s="116">
        <v>371</v>
      </c>
      <c r="AG191" s="116">
        <v>0</v>
      </c>
      <c r="AH191" s="116">
        <v>0</v>
      </c>
      <c r="AI191" s="160">
        <v>-533</v>
      </c>
      <c r="AJ191" s="161">
        <v>21293</v>
      </c>
      <c r="AK191" s="161">
        <v>1268</v>
      </c>
      <c r="AL191" s="150"/>
      <c r="AM191" s="161">
        <v>-406</v>
      </c>
      <c r="AN191" s="161">
        <v>-1133</v>
      </c>
      <c r="AO191" s="160">
        <v>-4529</v>
      </c>
      <c r="AQ191" s="160"/>
      <c r="AR191" s="117"/>
      <c r="AS191" s="117"/>
      <c r="AT191" s="99">
        <v>20.25</v>
      </c>
      <c r="AU191" s="130"/>
      <c r="AV191" s="262">
        <v>230</v>
      </c>
      <c r="AW191" s="267">
        <v>4246</v>
      </c>
      <c r="AX191" s="124"/>
      <c r="AY191" s="255">
        <v>1.0662525879917184</v>
      </c>
      <c r="AZ191" s="259">
        <v>20.806797641772388</v>
      </c>
      <c r="BA191" s="160">
        <v>-1142.0160150730098</v>
      </c>
      <c r="BB191" s="130"/>
      <c r="BC191" s="130"/>
      <c r="BD191" s="130"/>
      <c r="BE191" s="128">
        <v>69.655561034021275</v>
      </c>
      <c r="BF191" s="160">
        <v>1260.2449364107395</v>
      </c>
      <c r="BG191" s="129">
        <v>46.718939908133791</v>
      </c>
      <c r="BH191" s="131">
        <v>14920.631182289213</v>
      </c>
      <c r="BI191" s="124"/>
      <c r="BJ191" s="117">
        <v>32875</v>
      </c>
      <c r="BK191" s="117">
        <v>57988</v>
      </c>
      <c r="BL191" s="161">
        <v>0</v>
      </c>
      <c r="BM191" s="161">
        <v>-25113</v>
      </c>
      <c r="BN191" s="117">
        <v>11660</v>
      </c>
      <c r="BO191" s="117">
        <v>14662</v>
      </c>
      <c r="BP191" s="136"/>
      <c r="BR191" s="160">
        <v>-37</v>
      </c>
      <c r="BS191" s="160">
        <v>317</v>
      </c>
      <c r="BT191" s="161">
        <v>1489</v>
      </c>
      <c r="BU191" s="125">
        <v>2335</v>
      </c>
      <c r="BV191" s="161">
        <v>0</v>
      </c>
      <c r="BX191" s="161">
        <v>-846</v>
      </c>
      <c r="BY191" s="160">
        <v>-3</v>
      </c>
      <c r="BZ191" s="160">
        <v>1243</v>
      </c>
      <c r="CA191" s="160">
        <v>0</v>
      </c>
      <c r="CB191" s="160">
        <v>-3</v>
      </c>
      <c r="CC191" s="160">
        <v>391</v>
      </c>
      <c r="CD191" s="160">
        <v>20371</v>
      </c>
      <c r="CE191" s="116">
        <v>1316</v>
      </c>
      <c r="CF191" s="150"/>
      <c r="CG191" s="161">
        <v>758</v>
      </c>
      <c r="CH191" s="160">
        <v>-1393</v>
      </c>
      <c r="CI191" s="159">
        <v>-2556</v>
      </c>
      <c r="CK191" s="124"/>
      <c r="CL191" s="161"/>
      <c r="CM191" s="124"/>
      <c r="CN191" s="265">
        <v>20.25</v>
      </c>
      <c r="CO191" s="130"/>
      <c r="CP191" s="116">
        <v>185</v>
      </c>
      <c r="CQ191" s="267">
        <v>4201</v>
      </c>
      <c r="CR191" s="124"/>
      <c r="CS191" s="268">
        <v>2.5347091932457788</v>
      </c>
      <c r="CT191" s="269">
        <v>22.045875620993261</v>
      </c>
      <c r="CU191" s="160">
        <v>-1292.7874315639135</v>
      </c>
      <c r="CV191" s="130"/>
      <c r="CW191" s="130"/>
      <c r="CX191" s="130"/>
      <c r="CY191" s="269">
        <v>67.985086723942288</v>
      </c>
      <c r="CZ191" s="125">
        <v>1078.0766484170435</v>
      </c>
      <c r="DA191" s="125">
        <v>26.270301624129932</v>
      </c>
      <c r="DB191" s="273">
        <v>14978.814567960009</v>
      </c>
      <c r="DC191" s="124"/>
      <c r="DD191" s="117">
        <v>33298</v>
      </c>
      <c r="DE191" s="117">
        <v>58614</v>
      </c>
      <c r="DF191" s="117">
        <v>0</v>
      </c>
      <c r="DG191" s="117">
        <v>-25316</v>
      </c>
      <c r="DH191" s="117">
        <v>11770</v>
      </c>
      <c r="DI191" s="117">
        <v>15923</v>
      </c>
      <c r="DJ191" s="136"/>
      <c r="DL191" s="160">
        <v>-30</v>
      </c>
      <c r="DM191" s="160">
        <v>287</v>
      </c>
      <c r="DN191" s="161">
        <v>2634</v>
      </c>
      <c r="DO191" s="116">
        <v>3052</v>
      </c>
      <c r="DP191" s="161">
        <v>0</v>
      </c>
      <c r="DR191" s="161">
        <v>-418</v>
      </c>
      <c r="DS191" s="116">
        <v>0</v>
      </c>
      <c r="DT191" s="116">
        <v>133</v>
      </c>
      <c r="DU191" s="116">
        <v>0</v>
      </c>
      <c r="DV191" s="116">
        <v>0</v>
      </c>
      <c r="DW191" s="160">
        <v>-285</v>
      </c>
      <c r="DX191" s="160">
        <v>20092</v>
      </c>
      <c r="DY191" s="116">
        <v>2646</v>
      </c>
      <c r="DZ191" s="150"/>
      <c r="EA191" s="117">
        <v>-1287</v>
      </c>
      <c r="EB191" s="116">
        <v>-998</v>
      </c>
      <c r="EC191" s="159">
        <v>-534</v>
      </c>
      <c r="EE191" s="125"/>
      <c r="EF191" s="161"/>
      <c r="EG191" s="124"/>
      <c r="EH191" s="253">
        <v>20.25</v>
      </c>
      <c r="EI191" s="130"/>
      <c r="EJ191" s="125">
        <v>269</v>
      </c>
      <c r="EK191" s="116"/>
      <c r="EL191" s="159"/>
      <c r="EN191" s="116"/>
      <c r="EO191" s="116"/>
      <c r="EP191" s="159"/>
      <c r="EQ191" s="159">
        <v>-6839</v>
      </c>
      <c r="ER191" s="116">
        <v>986</v>
      </c>
      <c r="ES191" s="116">
        <v>56</v>
      </c>
      <c r="ET191" s="160">
        <v>-3909</v>
      </c>
      <c r="EU191" s="116">
        <v>1</v>
      </c>
      <c r="EV191" s="116">
        <v>36</v>
      </c>
      <c r="EW191" s="160">
        <v>-3287</v>
      </c>
      <c r="EX191" s="160">
        <v>20</v>
      </c>
      <c r="EY191" s="160">
        <v>87</v>
      </c>
      <c r="EZ191" s="116">
        <v>0</v>
      </c>
      <c r="FA191" s="116">
        <v>46</v>
      </c>
      <c r="FB191" s="116">
        <v>1105</v>
      </c>
      <c r="FC191" s="160">
        <v>550</v>
      </c>
      <c r="FD191" s="116">
        <v>1722</v>
      </c>
      <c r="FE191" s="116">
        <v>182</v>
      </c>
      <c r="FF191" s="3">
        <v>5203</v>
      </c>
      <c r="FG191" s="3">
        <v>4454</v>
      </c>
      <c r="FH191" s="3">
        <v>749</v>
      </c>
      <c r="FI191" s="3">
        <v>0</v>
      </c>
      <c r="FJ191" s="125">
        <v>4948</v>
      </c>
      <c r="FK191" s="160">
        <v>4189</v>
      </c>
      <c r="FL191" s="125">
        <v>759</v>
      </c>
      <c r="FM191" s="116">
        <v>0</v>
      </c>
      <c r="FN191" s="125">
        <v>6406</v>
      </c>
      <c r="FO191" s="116">
        <v>4934</v>
      </c>
      <c r="FP191" s="116">
        <v>1472</v>
      </c>
      <c r="FQ191" s="116">
        <v>-1287</v>
      </c>
      <c r="FR191" s="153">
        <v>330</v>
      </c>
      <c r="FS191" s="153">
        <v>1252</v>
      </c>
      <c r="FT191" s="276">
        <v>1090</v>
      </c>
      <c r="FU191" s="3">
        <v>2272</v>
      </c>
      <c r="FV191" s="159">
        <v>2271</v>
      </c>
      <c r="FW191" s="170"/>
      <c r="FZ191" s="155"/>
      <c r="GA191" s="2"/>
      <c r="GD191" s="163"/>
      <c r="GE191" s="2"/>
      <c r="GF191" s="2"/>
    </row>
    <row r="192" spans="1:188" ht="14.5" x14ac:dyDescent="0.35">
      <c r="A192" s="72">
        <v>608</v>
      </c>
      <c r="B192" s="70" t="s">
        <v>184</v>
      </c>
      <c r="C192" s="158">
        <v>2146</v>
      </c>
      <c r="D192" s="171"/>
      <c r="E192" s="128">
        <v>0.14893617021276595</v>
      </c>
      <c r="F192" s="128">
        <v>33.895116406678689</v>
      </c>
      <c r="G192" s="129">
        <v>-2958.5274930102514</v>
      </c>
      <c r="H192" s="216"/>
      <c r="I192" s="172"/>
      <c r="J192" s="218"/>
      <c r="K192" s="128">
        <v>48.024120367659975</v>
      </c>
      <c r="L192" s="129">
        <v>407.26933830382109</v>
      </c>
      <c r="M192" s="129">
        <v>12.08371212121212</v>
      </c>
      <c r="N192" s="129">
        <v>12301.957129543336</v>
      </c>
      <c r="O192" s="129"/>
      <c r="P192" s="117">
        <v>11350</v>
      </c>
      <c r="Q192" s="161">
        <v>25457</v>
      </c>
      <c r="R192" s="161">
        <v>24</v>
      </c>
      <c r="S192" s="161">
        <v>-14083</v>
      </c>
      <c r="T192" s="124">
        <v>6093</v>
      </c>
      <c r="U192" s="124">
        <v>8071</v>
      </c>
      <c r="V192" s="136"/>
      <c r="X192" s="116">
        <v>-27</v>
      </c>
      <c r="Y192" s="116">
        <v>-19</v>
      </c>
      <c r="Z192" s="161">
        <v>35</v>
      </c>
      <c r="AA192" s="116">
        <v>754</v>
      </c>
      <c r="AB192" s="116">
        <v>0</v>
      </c>
      <c r="AD192" s="161">
        <v>-719</v>
      </c>
      <c r="AE192" s="116">
        <v>0</v>
      </c>
      <c r="AF192" s="116">
        <v>0</v>
      </c>
      <c r="AG192" s="116">
        <v>0</v>
      </c>
      <c r="AH192" s="116">
        <v>-7</v>
      </c>
      <c r="AI192" s="160">
        <v>-726</v>
      </c>
      <c r="AJ192" s="161">
        <v>2827</v>
      </c>
      <c r="AK192" s="161">
        <v>54</v>
      </c>
      <c r="AL192" s="150"/>
      <c r="AM192" s="161">
        <v>189</v>
      </c>
      <c r="AN192" s="161">
        <v>-395</v>
      </c>
      <c r="AO192" s="160">
        <v>-401</v>
      </c>
      <c r="AQ192" s="160"/>
      <c r="AR192" s="117"/>
      <c r="AS192" s="117"/>
      <c r="AT192" s="99">
        <v>20.5</v>
      </c>
      <c r="AU192" s="130"/>
      <c r="AV192" s="262">
        <v>282</v>
      </c>
      <c r="AW192" s="267">
        <v>2089</v>
      </c>
      <c r="AX192" s="124"/>
      <c r="AY192" s="255">
        <v>7.0892857142857144</v>
      </c>
      <c r="AZ192" s="259">
        <v>33.319303615840823</v>
      </c>
      <c r="BA192" s="160">
        <v>-3096.696984202968</v>
      </c>
      <c r="BB192" s="130"/>
      <c r="BC192" s="130"/>
      <c r="BD192" s="130"/>
      <c r="BE192" s="128">
        <v>48.013957545798199</v>
      </c>
      <c r="BF192" s="160">
        <v>520.82336045955003</v>
      </c>
      <c r="BG192" s="129">
        <v>12.074107717346049</v>
      </c>
      <c r="BH192" s="131">
        <v>12647.678314983246</v>
      </c>
      <c r="BI192" s="124"/>
      <c r="BJ192" s="117">
        <v>11244</v>
      </c>
      <c r="BK192" s="117">
        <v>25341</v>
      </c>
      <c r="BL192" s="161">
        <v>-10</v>
      </c>
      <c r="BM192" s="161">
        <v>-14107</v>
      </c>
      <c r="BN192" s="117">
        <v>7057</v>
      </c>
      <c r="BO192" s="117">
        <v>7834</v>
      </c>
      <c r="BP192" s="136"/>
      <c r="BR192" s="160">
        <v>-22</v>
      </c>
      <c r="BS192" s="160">
        <v>9</v>
      </c>
      <c r="BT192" s="161">
        <v>771</v>
      </c>
      <c r="BU192" s="125">
        <v>746</v>
      </c>
      <c r="BV192" s="160">
        <v>0</v>
      </c>
      <c r="BX192" s="161">
        <v>25</v>
      </c>
      <c r="BY192" s="160">
        <v>-7</v>
      </c>
      <c r="BZ192" s="160">
        <v>0</v>
      </c>
      <c r="CA192" s="160">
        <v>0</v>
      </c>
      <c r="CB192" s="160">
        <v>5</v>
      </c>
      <c r="CC192" s="160">
        <v>23</v>
      </c>
      <c r="CD192" s="160">
        <v>2850</v>
      </c>
      <c r="CE192" s="116">
        <v>803</v>
      </c>
      <c r="CF192" s="150"/>
      <c r="CG192" s="161">
        <v>276</v>
      </c>
      <c r="CH192" s="160">
        <v>-89</v>
      </c>
      <c r="CI192" s="159">
        <v>-134</v>
      </c>
      <c r="CK192" s="124"/>
      <c r="CL192" s="161"/>
      <c r="CM192" s="124"/>
      <c r="CN192" s="265">
        <v>21.5</v>
      </c>
      <c r="CO192" s="130"/>
      <c r="CP192" s="116">
        <v>175</v>
      </c>
      <c r="CQ192" s="267">
        <v>2063</v>
      </c>
      <c r="CR192" s="124"/>
      <c r="CS192" s="268">
        <v>8.1221374045801529</v>
      </c>
      <c r="CT192" s="269">
        <v>32.808349146110054</v>
      </c>
      <c r="CU192" s="160">
        <v>-2866.2142510906447</v>
      </c>
      <c r="CV192" s="130"/>
      <c r="CW192" s="130"/>
      <c r="CX192" s="130"/>
      <c r="CY192" s="269">
        <v>48.940714656814642</v>
      </c>
      <c r="CZ192" s="125">
        <v>557.92535142995632</v>
      </c>
      <c r="DA192" s="125">
        <v>16.224414922375839</v>
      </c>
      <c r="DB192" s="273">
        <v>12551.623848763937</v>
      </c>
      <c r="DC192" s="124"/>
      <c r="DD192" s="117">
        <v>11756</v>
      </c>
      <c r="DE192" s="117">
        <v>25292</v>
      </c>
      <c r="DF192" s="117">
        <v>0</v>
      </c>
      <c r="DG192" s="117">
        <v>-13536</v>
      </c>
      <c r="DH192" s="117">
        <v>6854</v>
      </c>
      <c r="DI192" s="117">
        <v>7740</v>
      </c>
      <c r="DJ192" s="136"/>
      <c r="DL192" s="160">
        <v>-28</v>
      </c>
      <c r="DM192" s="160">
        <v>5</v>
      </c>
      <c r="DN192" s="161">
        <v>1035</v>
      </c>
      <c r="DO192" s="116">
        <v>748</v>
      </c>
      <c r="DP192" s="160">
        <v>0</v>
      </c>
      <c r="DR192" s="161">
        <v>287</v>
      </c>
      <c r="DS192" s="116">
        <v>-1</v>
      </c>
      <c r="DT192" s="116">
        <v>0</v>
      </c>
      <c r="DU192" s="116">
        <v>1</v>
      </c>
      <c r="DV192" s="116">
        <v>-5</v>
      </c>
      <c r="DW192" s="160">
        <v>280</v>
      </c>
      <c r="DX192" s="160">
        <v>3075</v>
      </c>
      <c r="DY192" s="116">
        <v>969</v>
      </c>
      <c r="DZ192" s="150"/>
      <c r="EA192" s="117">
        <v>-429</v>
      </c>
      <c r="EB192" s="116">
        <v>-102</v>
      </c>
      <c r="EC192" s="159">
        <v>592</v>
      </c>
      <c r="EE192" s="125"/>
      <c r="EF192" s="161"/>
      <c r="EG192" s="124"/>
      <c r="EH192" s="253">
        <v>21.5</v>
      </c>
      <c r="EI192" s="130"/>
      <c r="EJ192" s="125">
        <v>282</v>
      </c>
      <c r="EK192" s="116"/>
      <c r="EL192" s="159"/>
      <c r="EN192" s="116"/>
      <c r="EO192" s="116"/>
      <c r="EP192" s="159"/>
      <c r="EQ192" s="159">
        <v>-482</v>
      </c>
      <c r="ER192" s="116">
        <v>0</v>
      </c>
      <c r="ES192" s="116">
        <v>27</v>
      </c>
      <c r="ET192" s="160">
        <v>-959</v>
      </c>
      <c r="EU192" s="116">
        <v>16</v>
      </c>
      <c r="EV192" s="116">
        <v>6</v>
      </c>
      <c r="EW192" s="160">
        <v>-462</v>
      </c>
      <c r="EX192" s="160">
        <v>6</v>
      </c>
      <c r="EY192" s="160">
        <v>79</v>
      </c>
      <c r="EZ192" s="116">
        <v>172</v>
      </c>
      <c r="FA192" s="116">
        <v>-20</v>
      </c>
      <c r="FB192" s="116">
        <v>1604</v>
      </c>
      <c r="FC192" s="160">
        <v>-1170</v>
      </c>
      <c r="FD192" s="116">
        <v>69</v>
      </c>
      <c r="FE192" s="116">
        <v>-110</v>
      </c>
      <c r="FF192" s="3">
        <v>5032</v>
      </c>
      <c r="FG192" s="3">
        <v>2750</v>
      </c>
      <c r="FH192" s="3">
        <v>2282</v>
      </c>
      <c r="FI192" s="3">
        <v>13</v>
      </c>
      <c r="FJ192" s="125">
        <v>5377</v>
      </c>
      <c r="FK192" s="160">
        <v>3779</v>
      </c>
      <c r="FL192" s="125">
        <v>1598</v>
      </c>
      <c r="FM192" s="116">
        <v>13</v>
      </c>
      <c r="FN192" s="125">
        <v>5235</v>
      </c>
      <c r="FO192" s="116">
        <v>3250</v>
      </c>
      <c r="FP192" s="116">
        <v>1985</v>
      </c>
      <c r="FQ192" s="116">
        <v>-429</v>
      </c>
      <c r="FR192" s="153">
        <v>0</v>
      </c>
      <c r="FS192" s="153">
        <v>2038</v>
      </c>
      <c r="FT192" s="276">
        <v>2038</v>
      </c>
      <c r="FU192" s="3">
        <v>234</v>
      </c>
      <c r="FV192" s="159">
        <v>201</v>
      </c>
      <c r="FW192" s="170"/>
      <c r="FZ192" s="155"/>
      <c r="GA192" s="2"/>
      <c r="GD192" s="163"/>
      <c r="GE192" s="2"/>
      <c r="GF192" s="2"/>
    </row>
    <row r="193" spans="1:188" ht="14.5" x14ac:dyDescent="0.35">
      <c r="A193" s="72">
        <v>609</v>
      </c>
      <c r="B193" s="70" t="s">
        <v>185</v>
      </c>
      <c r="C193" s="158">
        <v>84403</v>
      </c>
      <c r="D193" s="171"/>
      <c r="E193" s="128">
        <v>0.96065531842337093</v>
      </c>
      <c r="F193" s="128">
        <v>74.021868834126352</v>
      </c>
      <c r="G193" s="129">
        <v>-6086.2054666303329</v>
      </c>
      <c r="H193" s="216"/>
      <c r="I193" s="172"/>
      <c r="J193" s="218"/>
      <c r="K193" s="128">
        <v>42.097376148078318</v>
      </c>
      <c r="L193" s="129">
        <v>594.43384713813487</v>
      </c>
      <c r="M193" s="129">
        <v>16.89317862723863</v>
      </c>
      <c r="N193" s="129">
        <v>12843.548215110837</v>
      </c>
      <c r="O193" s="129"/>
      <c r="P193" s="117">
        <v>415636</v>
      </c>
      <c r="Q193" s="161">
        <v>868353</v>
      </c>
      <c r="R193" s="161">
        <v>-948</v>
      </c>
      <c r="S193" s="161">
        <v>-453665</v>
      </c>
      <c r="T193" s="124">
        <v>304372</v>
      </c>
      <c r="U193" s="124">
        <v>213558</v>
      </c>
      <c r="V193" s="136"/>
      <c r="X193" s="116">
        <v>-4875</v>
      </c>
      <c r="Y193" s="116">
        <v>2670</v>
      </c>
      <c r="Z193" s="161">
        <v>62060</v>
      </c>
      <c r="AA193" s="116">
        <v>66021</v>
      </c>
      <c r="AB193" s="116">
        <v>2</v>
      </c>
      <c r="AD193" s="161">
        <v>-3959</v>
      </c>
      <c r="AE193" s="116">
        <v>-1177</v>
      </c>
      <c r="AF193" s="116">
        <v>-497</v>
      </c>
      <c r="AG193" s="116">
        <v>0</v>
      </c>
      <c r="AH193" s="116">
        <v>-3333</v>
      </c>
      <c r="AI193" s="160">
        <v>-8966</v>
      </c>
      <c r="AJ193" s="161">
        <v>53417</v>
      </c>
      <c r="AK193" s="161">
        <v>56352</v>
      </c>
      <c r="AL193" s="150"/>
      <c r="AM193" s="161">
        <v>-53108</v>
      </c>
      <c r="AN193" s="161">
        <v>-64829</v>
      </c>
      <c r="AO193" s="160">
        <v>-64970</v>
      </c>
      <c r="AQ193" s="160"/>
      <c r="AR193" s="117"/>
      <c r="AS193" s="117"/>
      <c r="AT193" s="99">
        <v>19.75</v>
      </c>
      <c r="AU193" s="130"/>
      <c r="AV193" s="262">
        <v>66</v>
      </c>
      <c r="AW193" s="267">
        <v>83934</v>
      </c>
      <c r="AX193" s="124"/>
      <c r="AY193" s="255">
        <v>0.95559595297343203</v>
      </c>
      <c r="AZ193" s="259">
        <v>78.201493700425871</v>
      </c>
      <c r="BA193" s="160">
        <v>-6991.457573807992</v>
      </c>
      <c r="BB193" s="130"/>
      <c r="BC193" s="130"/>
      <c r="BD193" s="130"/>
      <c r="BE193" s="128">
        <v>41.566778058220791</v>
      </c>
      <c r="BF193" s="160">
        <v>413.02690208973718</v>
      </c>
      <c r="BG193" s="129">
        <v>15.824899996802662</v>
      </c>
      <c r="BH193" s="131">
        <v>13787.178020825888</v>
      </c>
      <c r="BI193" s="124"/>
      <c r="BJ193" s="117">
        <v>420987</v>
      </c>
      <c r="BK193" s="117">
        <v>889279</v>
      </c>
      <c r="BL193" s="161">
        <v>582</v>
      </c>
      <c r="BM193" s="161">
        <v>-467710</v>
      </c>
      <c r="BN193" s="117">
        <v>312143</v>
      </c>
      <c r="BO193" s="117">
        <v>216458</v>
      </c>
      <c r="BP193" s="136"/>
      <c r="BR193" s="160">
        <v>-5112</v>
      </c>
      <c r="BS193" s="160">
        <v>2556</v>
      </c>
      <c r="BT193" s="161">
        <v>58335</v>
      </c>
      <c r="BU193" s="125">
        <v>71876</v>
      </c>
      <c r="BV193" s="160">
        <v>0</v>
      </c>
      <c r="BX193" s="161">
        <v>-13541</v>
      </c>
      <c r="BY193" s="160">
        <v>-2938</v>
      </c>
      <c r="BZ193" s="161">
        <v>13</v>
      </c>
      <c r="CA193" s="160">
        <v>0</v>
      </c>
      <c r="CB193" s="160">
        <v>-3169</v>
      </c>
      <c r="CC193" s="160">
        <v>-19635</v>
      </c>
      <c r="CD193" s="160">
        <v>33329</v>
      </c>
      <c r="CE193" s="116">
        <v>46617</v>
      </c>
      <c r="CF193" s="150"/>
      <c r="CG193" s="160">
        <v>6163</v>
      </c>
      <c r="CH193" s="160">
        <v>-61315</v>
      </c>
      <c r="CI193" s="159">
        <v>-71468</v>
      </c>
      <c r="CK193" s="124"/>
      <c r="CL193" s="161"/>
      <c r="CM193" s="124"/>
      <c r="CN193" s="265">
        <v>20.25</v>
      </c>
      <c r="CO193" s="130"/>
      <c r="CP193" s="116">
        <v>62</v>
      </c>
      <c r="CQ193" s="267">
        <v>83684</v>
      </c>
      <c r="CR193" s="124"/>
      <c r="CS193" s="268">
        <v>1.4638489594507615</v>
      </c>
      <c r="CT193" s="269">
        <v>79.037582938733806</v>
      </c>
      <c r="CU193" s="160">
        <v>-7009.4283256058507</v>
      </c>
      <c r="CV193" s="130"/>
      <c r="CW193" s="130"/>
      <c r="CX193" s="130"/>
      <c r="CY193" s="269">
        <v>41.9886518770058</v>
      </c>
      <c r="CZ193" s="125">
        <v>791.11897136848143</v>
      </c>
      <c r="DA193" s="125">
        <v>23.216105314027295</v>
      </c>
      <c r="DB193" s="273">
        <v>12437.849529181205</v>
      </c>
      <c r="DC193" s="124"/>
      <c r="DD193" s="117">
        <v>388076</v>
      </c>
      <c r="DE193" s="117">
        <v>861717</v>
      </c>
      <c r="DF193" s="117">
        <v>147</v>
      </c>
      <c r="DG193" s="117">
        <v>-473494</v>
      </c>
      <c r="DH193" s="117">
        <v>320212</v>
      </c>
      <c r="DI193" s="117">
        <v>252813</v>
      </c>
      <c r="DJ193" s="136"/>
      <c r="DL193" s="160">
        <v>-4243</v>
      </c>
      <c r="DM193" s="160">
        <v>2289</v>
      </c>
      <c r="DN193" s="161">
        <v>97577</v>
      </c>
      <c r="DO193" s="116">
        <v>69813</v>
      </c>
      <c r="DP193" s="160">
        <v>0</v>
      </c>
      <c r="DR193" s="161">
        <v>27764</v>
      </c>
      <c r="DS193" s="116">
        <v>-2307</v>
      </c>
      <c r="DT193" s="117">
        <v>-60</v>
      </c>
      <c r="DU193" s="116">
        <v>0</v>
      </c>
      <c r="DV193" s="116">
        <v>-3134</v>
      </c>
      <c r="DW193" s="160">
        <v>22263</v>
      </c>
      <c r="DX193" s="160">
        <v>55141</v>
      </c>
      <c r="DY193" s="116">
        <v>86421</v>
      </c>
      <c r="DZ193" s="150"/>
      <c r="EA193" s="116">
        <v>14254</v>
      </c>
      <c r="EB193" s="116">
        <v>-65147</v>
      </c>
      <c r="EC193" s="159">
        <v>1155</v>
      </c>
      <c r="EE193" s="125"/>
      <c r="EF193" s="161"/>
      <c r="EG193" s="124"/>
      <c r="EH193" s="253">
        <v>20.25</v>
      </c>
      <c r="EI193" s="130"/>
      <c r="EJ193" s="125">
        <v>86</v>
      </c>
      <c r="EK193" s="116"/>
      <c r="EL193" s="159"/>
      <c r="EN193" s="116"/>
      <c r="EO193" s="116"/>
      <c r="EP193" s="159"/>
      <c r="EQ193" s="159">
        <v>-144679</v>
      </c>
      <c r="ER193" s="116">
        <v>1776</v>
      </c>
      <c r="ES193" s="116">
        <v>21581</v>
      </c>
      <c r="ET193" s="160">
        <v>-200883</v>
      </c>
      <c r="EU193" s="116">
        <v>1165</v>
      </c>
      <c r="EV193" s="116">
        <v>81633</v>
      </c>
      <c r="EW193" s="160">
        <v>-108540</v>
      </c>
      <c r="EX193" s="160">
        <v>1587</v>
      </c>
      <c r="EY193" s="160">
        <v>21687</v>
      </c>
      <c r="EZ193" s="116">
        <v>126945</v>
      </c>
      <c r="FA193" s="116">
        <v>-14666</v>
      </c>
      <c r="FB193" s="116">
        <v>103323</v>
      </c>
      <c r="FC193" s="160">
        <v>10145</v>
      </c>
      <c r="FD193" s="116">
        <v>74281</v>
      </c>
      <c r="FE193" s="116">
        <v>5037</v>
      </c>
      <c r="FF193" s="3">
        <v>499109</v>
      </c>
      <c r="FG193" s="3">
        <v>421518</v>
      </c>
      <c r="FH193" s="3">
        <v>77591</v>
      </c>
      <c r="FI193" s="3">
        <v>2514</v>
      </c>
      <c r="FJ193" s="125">
        <v>554262</v>
      </c>
      <c r="FK193" s="160">
        <v>462262</v>
      </c>
      <c r="FL193" s="125">
        <v>92000</v>
      </c>
      <c r="FM193" s="116">
        <v>1955</v>
      </c>
      <c r="FN193" s="125">
        <v>568432</v>
      </c>
      <c r="FO193" s="116">
        <v>463880</v>
      </c>
      <c r="FP193" s="116">
        <v>104552</v>
      </c>
      <c r="FQ193" s="116">
        <v>14254</v>
      </c>
      <c r="FR193" s="153">
        <v>5466</v>
      </c>
      <c r="FS193" s="153">
        <v>4956</v>
      </c>
      <c r="FT193" s="276">
        <v>4506</v>
      </c>
      <c r="FU193" s="3">
        <v>334051</v>
      </c>
      <c r="FV193" s="159">
        <v>345948</v>
      </c>
      <c r="FW193" s="170"/>
      <c r="FZ193" s="155"/>
      <c r="GA193" s="2"/>
      <c r="GD193" s="163"/>
      <c r="GE193" s="2"/>
      <c r="GF193" s="2"/>
    </row>
    <row r="194" spans="1:188" ht="14.5" x14ac:dyDescent="0.35">
      <c r="A194" s="72">
        <v>611</v>
      </c>
      <c r="B194" s="70" t="s">
        <v>186</v>
      </c>
      <c r="C194" s="158">
        <v>5068</v>
      </c>
      <c r="D194" s="171"/>
      <c r="E194" s="128">
        <v>2.5701754385964914</v>
      </c>
      <c r="F194" s="128">
        <v>37.175593063939402</v>
      </c>
      <c r="G194" s="129">
        <v>-2033.1491712707184</v>
      </c>
      <c r="H194" s="216"/>
      <c r="I194" s="172"/>
      <c r="J194" s="218"/>
      <c r="K194" s="128">
        <v>48.95941727367326</v>
      </c>
      <c r="L194" s="129">
        <v>1465.0749802683504</v>
      </c>
      <c r="M194" s="129">
        <v>52.139847627842542</v>
      </c>
      <c r="N194" s="129">
        <v>10256.116811365431</v>
      </c>
      <c r="O194" s="129"/>
      <c r="P194" s="117">
        <v>26070</v>
      </c>
      <c r="Q194" s="161">
        <v>48790</v>
      </c>
      <c r="R194" s="161">
        <v>6</v>
      </c>
      <c r="S194" s="161">
        <v>-22714</v>
      </c>
      <c r="T194" s="124">
        <v>19683</v>
      </c>
      <c r="U194" s="124">
        <v>6265</v>
      </c>
      <c r="V194" s="136"/>
      <c r="X194" s="116">
        <v>-152</v>
      </c>
      <c r="Y194" s="116">
        <v>-27</v>
      </c>
      <c r="Z194" s="161">
        <v>3055</v>
      </c>
      <c r="AA194" s="116">
        <v>2014</v>
      </c>
      <c r="AB194" s="116">
        <v>-50</v>
      </c>
      <c r="AD194" s="161">
        <v>991</v>
      </c>
      <c r="AE194" s="116">
        <v>0</v>
      </c>
      <c r="AF194" s="116">
        <v>-1</v>
      </c>
      <c r="AG194" s="116">
        <v>-1</v>
      </c>
      <c r="AH194" s="116">
        <v>0</v>
      </c>
      <c r="AI194" s="160">
        <v>989</v>
      </c>
      <c r="AJ194" s="161">
        <v>10762</v>
      </c>
      <c r="AK194" s="161">
        <v>2606</v>
      </c>
      <c r="AL194" s="150"/>
      <c r="AM194" s="161">
        <v>1580</v>
      </c>
      <c r="AN194" s="161">
        <v>-1086</v>
      </c>
      <c r="AO194" s="160">
        <v>1905</v>
      </c>
      <c r="AQ194" s="160"/>
      <c r="AR194" s="117"/>
      <c r="AS194" s="117"/>
      <c r="AT194" s="99">
        <v>20.5</v>
      </c>
      <c r="AU194" s="130"/>
      <c r="AV194" s="262">
        <v>111</v>
      </c>
      <c r="AW194" s="267">
        <v>5035</v>
      </c>
      <c r="AX194" s="124"/>
      <c r="AY194" s="255">
        <v>0.8287958115183246</v>
      </c>
      <c r="AZ194" s="259">
        <v>38.553569774979167</v>
      </c>
      <c r="BA194" s="160">
        <v>-2236.345580933466</v>
      </c>
      <c r="BB194" s="130"/>
      <c r="BC194" s="130"/>
      <c r="BD194" s="130"/>
      <c r="BE194" s="128">
        <v>46.372344219697354</v>
      </c>
      <c r="BF194" s="160">
        <v>1194.6375372393247</v>
      </c>
      <c r="BG194" s="129">
        <v>47.629613356766257</v>
      </c>
      <c r="BH194" s="131">
        <v>11300.893743793447</v>
      </c>
      <c r="BI194" s="124"/>
      <c r="BJ194" s="117">
        <v>27720</v>
      </c>
      <c r="BK194" s="117">
        <v>52424</v>
      </c>
      <c r="BL194" s="161">
        <v>2</v>
      </c>
      <c r="BM194" s="161">
        <v>-24702</v>
      </c>
      <c r="BN194" s="117">
        <v>20003</v>
      </c>
      <c r="BO194" s="117">
        <v>6272</v>
      </c>
      <c r="BP194" s="136"/>
      <c r="BR194" s="160">
        <v>-94</v>
      </c>
      <c r="BS194" s="160">
        <v>-38</v>
      </c>
      <c r="BT194" s="161">
        <v>1441</v>
      </c>
      <c r="BU194" s="125">
        <v>2072</v>
      </c>
      <c r="BV194" s="160">
        <v>0</v>
      </c>
      <c r="BX194" s="161">
        <v>-631</v>
      </c>
      <c r="BY194" s="160">
        <v>-2</v>
      </c>
      <c r="BZ194" s="160">
        <v>1</v>
      </c>
      <c r="CA194" s="160">
        <v>1</v>
      </c>
      <c r="CB194" s="160">
        <v>0</v>
      </c>
      <c r="CC194" s="160">
        <v>-633</v>
      </c>
      <c r="CD194" s="160">
        <v>10132</v>
      </c>
      <c r="CE194" s="116">
        <v>1324</v>
      </c>
      <c r="CF194" s="150"/>
      <c r="CG194" s="161">
        <v>-1930</v>
      </c>
      <c r="CH194" s="160">
        <v>-1768</v>
      </c>
      <c r="CI194" s="159">
        <v>-1017</v>
      </c>
      <c r="CK194" s="124"/>
      <c r="CL194" s="161"/>
      <c r="CM194" s="124"/>
      <c r="CN194" s="265">
        <v>20.5</v>
      </c>
      <c r="CO194" s="130"/>
      <c r="CP194" s="116">
        <v>213</v>
      </c>
      <c r="CQ194" s="267">
        <v>5070</v>
      </c>
      <c r="CR194" s="124"/>
      <c r="CS194" s="268">
        <v>1.5587986463620982</v>
      </c>
      <c r="CT194" s="269">
        <v>33.836592755818756</v>
      </c>
      <c r="CU194" s="160">
        <v>-1915.9763313609469</v>
      </c>
      <c r="CV194" s="130"/>
      <c r="CW194" s="130"/>
      <c r="CX194" s="130"/>
      <c r="CY194" s="269">
        <v>49.3701046868267</v>
      </c>
      <c r="CZ194" s="125">
        <v>1455.0295857988165</v>
      </c>
      <c r="DA194" s="125">
        <v>45.710975299210595</v>
      </c>
      <c r="DB194" s="273">
        <v>11618.343195266272</v>
      </c>
      <c r="DC194" s="124"/>
      <c r="DD194" s="117">
        <v>28488</v>
      </c>
      <c r="DE194" s="117">
        <v>54412</v>
      </c>
      <c r="DF194" s="117">
        <v>-5</v>
      </c>
      <c r="DG194" s="117">
        <v>-25929</v>
      </c>
      <c r="DH194" s="117">
        <v>21214</v>
      </c>
      <c r="DI194" s="117">
        <v>8386</v>
      </c>
      <c r="DJ194" s="136"/>
      <c r="DL194" s="160">
        <v>-96</v>
      </c>
      <c r="DM194" s="160">
        <v>13</v>
      </c>
      <c r="DN194" s="161">
        <v>3588</v>
      </c>
      <c r="DO194" s="116">
        <v>2314</v>
      </c>
      <c r="DP194" s="160">
        <v>0</v>
      </c>
      <c r="DR194" s="161">
        <v>1274</v>
      </c>
      <c r="DS194" s="116">
        <v>0</v>
      </c>
      <c r="DT194" s="116">
        <v>1</v>
      </c>
      <c r="DU194" s="116">
        <v>0</v>
      </c>
      <c r="DV194" s="116">
        <v>0</v>
      </c>
      <c r="DW194" s="160">
        <v>1275</v>
      </c>
      <c r="DX194" s="160">
        <v>11410</v>
      </c>
      <c r="DY194" s="116">
        <v>3359</v>
      </c>
      <c r="DZ194" s="150"/>
      <c r="EA194" s="117">
        <v>668</v>
      </c>
      <c r="EB194" s="116">
        <v>-2267</v>
      </c>
      <c r="EC194" s="159">
        <v>1605</v>
      </c>
      <c r="EE194" s="125"/>
      <c r="EF194" s="161"/>
      <c r="EG194" s="124"/>
      <c r="EH194" s="253">
        <v>20.5</v>
      </c>
      <c r="EI194" s="130"/>
      <c r="EJ194" s="125">
        <v>255</v>
      </c>
      <c r="EK194" s="116"/>
      <c r="EL194" s="159"/>
      <c r="EN194" s="116"/>
      <c r="EO194" s="116"/>
      <c r="EP194" s="159"/>
      <c r="EQ194" s="159">
        <v>-1847</v>
      </c>
      <c r="ER194" s="116">
        <v>7</v>
      </c>
      <c r="ES194" s="116">
        <v>1139</v>
      </c>
      <c r="ET194" s="160">
        <v>-2522</v>
      </c>
      <c r="EU194" s="116">
        <v>82</v>
      </c>
      <c r="EV194" s="116">
        <v>99</v>
      </c>
      <c r="EW194" s="160">
        <v>-2094</v>
      </c>
      <c r="EX194" s="160">
        <v>72</v>
      </c>
      <c r="EY194" s="160">
        <v>268</v>
      </c>
      <c r="EZ194" s="116">
        <v>83</v>
      </c>
      <c r="FA194" s="116">
        <v>0</v>
      </c>
      <c r="FB194" s="116">
        <v>463</v>
      </c>
      <c r="FC194" s="160">
        <v>593</v>
      </c>
      <c r="FD194" s="116">
        <v>591</v>
      </c>
      <c r="FE194" s="116">
        <v>-593</v>
      </c>
      <c r="FF194" s="3">
        <v>14562</v>
      </c>
      <c r="FG194" s="3">
        <v>12794</v>
      </c>
      <c r="FH194" s="3">
        <v>1768</v>
      </c>
      <c r="FI194" s="3">
        <v>53</v>
      </c>
      <c r="FJ194" s="125">
        <v>13849</v>
      </c>
      <c r="FK194" s="160">
        <v>10943</v>
      </c>
      <c r="FL194" s="125">
        <v>2906</v>
      </c>
      <c r="FM194" s="116">
        <v>0</v>
      </c>
      <c r="FN194" s="125">
        <v>11579</v>
      </c>
      <c r="FO194" s="116">
        <v>8893</v>
      </c>
      <c r="FP194" s="116">
        <v>2686</v>
      </c>
      <c r="FQ194" s="116">
        <v>668</v>
      </c>
      <c r="FR194" s="153">
        <v>2053</v>
      </c>
      <c r="FS194" s="153">
        <v>2168</v>
      </c>
      <c r="FT194" s="276">
        <v>1405</v>
      </c>
      <c r="FU194" s="3">
        <v>2360</v>
      </c>
      <c r="FV194" s="159">
        <v>2678</v>
      </c>
      <c r="FW194" s="170"/>
      <c r="FZ194" s="155"/>
      <c r="GA194" s="2"/>
      <c r="GD194" s="163"/>
      <c r="GE194" s="2"/>
      <c r="GF194" s="2"/>
    </row>
    <row r="195" spans="1:188" ht="14.5" x14ac:dyDescent="0.35">
      <c r="A195" s="72">
        <v>638</v>
      </c>
      <c r="B195" s="70" t="s">
        <v>200</v>
      </c>
      <c r="C195" s="158">
        <v>50262</v>
      </c>
      <c r="D195" s="171"/>
      <c r="E195" s="128">
        <v>1.2321151190887125</v>
      </c>
      <c r="F195" s="128">
        <v>90.318012720508818</v>
      </c>
      <c r="G195" s="129">
        <v>-8026.8990489833277</v>
      </c>
      <c r="H195" s="216"/>
      <c r="I195" s="172"/>
      <c r="J195" s="218"/>
      <c r="K195" s="128">
        <v>24.542651868133831</v>
      </c>
      <c r="L195" s="129">
        <v>1020.1742867374954</v>
      </c>
      <c r="M195" s="129">
        <v>30.275599785822553</v>
      </c>
      <c r="N195" s="129">
        <v>12299.13254546178</v>
      </c>
      <c r="O195" s="129"/>
      <c r="P195" s="117">
        <v>243042</v>
      </c>
      <c r="Q195" s="161">
        <v>485961</v>
      </c>
      <c r="R195" s="161">
        <v>937</v>
      </c>
      <c r="S195" s="161">
        <v>-241982</v>
      </c>
      <c r="T195" s="124">
        <v>229152</v>
      </c>
      <c r="U195" s="124">
        <v>69451</v>
      </c>
      <c r="V195" s="136"/>
      <c r="X195" s="116">
        <v>-2852</v>
      </c>
      <c r="Y195" s="116">
        <v>409</v>
      </c>
      <c r="Z195" s="161">
        <v>54178</v>
      </c>
      <c r="AA195" s="116">
        <v>42069</v>
      </c>
      <c r="AB195" s="117">
        <v>0</v>
      </c>
      <c r="AD195" s="161">
        <v>12109</v>
      </c>
      <c r="AE195" s="116">
        <v>-97</v>
      </c>
      <c r="AF195" s="116">
        <v>-3593</v>
      </c>
      <c r="AG195" s="116">
        <v>-5</v>
      </c>
      <c r="AH195" s="117">
        <v>9</v>
      </c>
      <c r="AI195" s="160">
        <v>8423</v>
      </c>
      <c r="AJ195" s="161">
        <v>50659</v>
      </c>
      <c r="AK195" s="161">
        <v>41744</v>
      </c>
      <c r="AL195" s="150"/>
      <c r="AM195" s="161">
        <v>-3299</v>
      </c>
      <c r="AN195" s="161">
        <v>-43419</v>
      </c>
      <c r="AO195" s="160">
        <v>-29285</v>
      </c>
      <c r="AQ195" s="160"/>
      <c r="AR195" s="117"/>
      <c r="AS195" s="117"/>
      <c r="AT195" s="99">
        <v>19.75</v>
      </c>
      <c r="AU195" s="130"/>
      <c r="AV195" s="262">
        <v>17</v>
      </c>
      <c r="AW195" s="267">
        <v>50380</v>
      </c>
      <c r="AX195" s="124"/>
      <c r="AY195" s="255">
        <v>1.1061229861071946</v>
      </c>
      <c r="AZ195" s="259">
        <v>86.642041580723387</v>
      </c>
      <c r="BA195" s="160">
        <v>-8356.4311234616907</v>
      </c>
      <c r="BB195" s="130"/>
      <c r="BC195" s="130"/>
      <c r="BD195" s="130"/>
      <c r="BE195" s="128">
        <v>25.38130128073616</v>
      </c>
      <c r="BF195" s="160">
        <v>916.01826121476779</v>
      </c>
      <c r="BG195" s="129">
        <v>29.992363074232149</v>
      </c>
      <c r="BH195" s="131">
        <v>12891.544263596666</v>
      </c>
      <c r="BI195" s="124"/>
      <c r="BJ195" s="117">
        <v>280775</v>
      </c>
      <c r="BK195" s="117">
        <v>521354</v>
      </c>
      <c r="BL195" s="161">
        <v>743</v>
      </c>
      <c r="BM195" s="161">
        <v>-239836</v>
      </c>
      <c r="BN195" s="117">
        <v>242953</v>
      </c>
      <c r="BO195" s="117">
        <v>55627</v>
      </c>
      <c r="BP195" s="136"/>
      <c r="BR195" s="160">
        <v>-2282</v>
      </c>
      <c r="BS195" s="160">
        <v>-1</v>
      </c>
      <c r="BT195" s="161">
        <v>56461</v>
      </c>
      <c r="BU195" s="125">
        <v>49387</v>
      </c>
      <c r="BV195" s="161">
        <v>0</v>
      </c>
      <c r="BW195" s="117"/>
      <c r="BX195" s="161">
        <v>7074</v>
      </c>
      <c r="BY195" s="160">
        <v>91</v>
      </c>
      <c r="BZ195" s="161">
        <v>2326</v>
      </c>
      <c r="CA195" s="161">
        <v>25</v>
      </c>
      <c r="CB195" s="161">
        <v>-39</v>
      </c>
      <c r="CC195" s="160">
        <v>9427</v>
      </c>
      <c r="CD195" s="160">
        <v>58578</v>
      </c>
      <c r="CE195" s="116">
        <v>49842</v>
      </c>
      <c r="CF195" s="150"/>
      <c r="CG195" s="160">
        <v>430</v>
      </c>
      <c r="CH195" s="160">
        <v>-50816</v>
      </c>
      <c r="CI195" s="159">
        <v>-15207</v>
      </c>
      <c r="CK195" s="124"/>
      <c r="CL195" s="161"/>
      <c r="CM195" s="124"/>
      <c r="CN195" s="265">
        <v>19.75</v>
      </c>
      <c r="CO195" s="130"/>
      <c r="CP195" s="116">
        <v>14</v>
      </c>
      <c r="CQ195" s="267">
        <v>50619</v>
      </c>
      <c r="CR195" s="124"/>
      <c r="CS195" s="268">
        <v>1.2306254835446051</v>
      </c>
      <c r="CT195" s="269">
        <v>77.25153064842759</v>
      </c>
      <c r="CU195" s="160">
        <v>-7066.536280843161</v>
      </c>
      <c r="CV195" s="130"/>
      <c r="CW195" s="130"/>
      <c r="CX195" s="130"/>
      <c r="CY195" s="269">
        <v>30.900059120531132</v>
      </c>
      <c r="CZ195" s="125">
        <v>1951.5399355973054</v>
      </c>
      <c r="DA195" s="125">
        <v>53.80085349567657</v>
      </c>
      <c r="DB195" s="273">
        <v>13239.791382682393</v>
      </c>
      <c r="DC195" s="124"/>
      <c r="DD195" s="117">
        <v>300144</v>
      </c>
      <c r="DE195" s="117">
        <v>531691</v>
      </c>
      <c r="DF195" s="117">
        <v>436</v>
      </c>
      <c r="DG195" s="117">
        <v>-231111</v>
      </c>
      <c r="DH195" s="117">
        <v>257918</v>
      </c>
      <c r="DI195" s="117">
        <v>76473</v>
      </c>
      <c r="DJ195" s="136"/>
      <c r="DL195" s="160">
        <v>-2480</v>
      </c>
      <c r="DM195" s="160">
        <v>4</v>
      </c>
      <c r="DN195" s="161">
        <v>100804</v>
      </c>
      <c r="DO195" s="116">
        <v>51147</v>
      </c>
      <c r="DP195" s="161">
        <v>-899</v>
      </c>
      <c r="DQ195" s="117"/>
      <c r="DR195" s="161">
        <v>48758</v>
      </c>
      <c r="DS195" s="116">
        <v>-795</v>
      </c>
      <c r="DT195" s="117">
        <v>-16103</v>
      </c>
      <c r="DU195" s="117">
        <v>68</v>
      </c>
      <c r="DV195" s="117">
        <v>41</v>
      </c>
      <c r="DW195" s="160">
        <v>31833</v>
      </c>
      <c r="DX195" s="160">
        <v>93294</v>
      </c>
      <c r="DY195" s="116">
        <v>85919</v>
      </c>
      <c r="DZ195" s="150"/>
      <c r="EA195" s="116">
        <v>2029</v>
      </c>
      <c r="EB195" s="116">
        <v>-81428</v>
      </c>
      <c r="EC195" s="159">
        <v>63828</v>
      </c>
      <c r="EE195" s="125"/>
      <c r="EF195" s="161"/>
      <c r="EG195" s="124"/>
      <c r="EH195" s="253">
        <v>19.75</v>
      </c>
      <c r="EI195" s="130"/>
      <c r="EJ195" s="125">
        <v>5</v>
      </c>
      <c r="EK195" s="116"/>
      <c r="EL195" s="159"/>
      <c r="EN195" s="116"/>
      <c r="EO195" s="116"/>
      <c r="EP195" s="159"/>
      <c r="EQ195" s="159">
        <v>-85205</v>
      </c>
      <c r="ER195" s="116">
        <v>355</v>
      </c>
      <c r="ES195" s="116">
        <v>13821</v>
      </c>
      <c r="ET195" s="160">
        <v>-74370</v>
      </c>
      <c r="EU195" s="116">
        <v>464</v>
      </c>
      <c r="EV195" s="116">
        <v>8857</v>
      </c>
      <c r="EW195" s="160">
        <v>-53956</v>
      </c>
      <c r="EX195" s="160">
        <v>644</v>
      </c>
      <c r="EY195" s="160">
        <v>31221</v>
      </c>
      <c r="EZ195" s="116">
        <v>71161</v>
      </c>
      <c r="FA195" s="116">
        <v>2377</v>
      </c>
      <c r="FB195" s="116">
        <v>59298</v>
      </c>
      <c r="FC195" s="160">
        <v>2382</v>
      </c>
      <c r="FD195" s="116">
        <v>60445</v>
      </c>
      <c r="FE195" s="116">
        <v>-2258</v>
      </c>
      <c r="FF195" s="3">
        <v>361969</v>
      </c>
      <c r="FG195" s="3">
        <v>314493</v>
      </c>
      <c r="FH195" s="3">
        <v>47476</v>
      </c>
      <c r="FI195" s="3">
        <v>2</v>
      </c>
      <c r="FJ195" s="125">
        <v>371697</v>
      </c>
      <c r="FK195" s="160">
        <v>331906</v>
      </c>
      <c r="FL195" s="125">
        <v>39791</v>
      </c>
      <c r="FM195" s="116">
        <v>708</v>
      </c>
      <c r="FN195" s="125">
        <v>348224</v>
      </c>
      <c r="FO195" s="116">
        <v>318653</v>
      </c>
      <c r="FP195" s="116">
        <v>29571</v>
      </c>
      <c r="FQ195" s="116">
        <v>2029</v>
      </c>
      <c r="FR195" s="153">
        <v>11569</v>
      </c>
      <c r="FS195" s="153">
        <v>8978</v>
      </c>
      <c r="FT195" s="276">
        <v>1759</v>
      </c>
      <c r="FU195" s="3">
        <v>113582</v>
      </c>
      <c r="FV195" s="159">
        <v>141698</v>
      </c>
      <c r="FW195" s="170"/>
      <c r="FZ195" s="155"/>
      <c r="GA195" s="2"/>
      <c r="GD195" s="163"/>
      <c r="GE195" s="2"/>
      <c r="GF195" s="2"/>
    </row>
    <row r="196" spans="1:188" ht="14.5" x14ac:dyDescent="0.35">
      <c r="A196" s="72">
        <v>614</v>
      </c>
      <c r="B196" s="70" t="s">
        <v>187</v>
      </c>
      <c r="C196" s="158">
        <v>3237</v>
      </c>
      <c r="D196" s="171"/>
      <c r="E196" s="128">
        <v>2.0571249215317011</v>
      </c>
      <c r="F196" s="128">
        <v>50.48357584734687</v>
      </c>
      <c r="G196" s="129">
        <v>-2655.8541859746679</v>
      </c>
      <c r="H196" s="216"/>
      <c r="I196" s="172"/>
      <c r="J196" s="218"/>
      <c r="K196" s="128">
        <v>46.7756242515634</v>
      </c>
      <c r="L196" s="129">
        <v>3355.5761507568736</v>
      </c>
      <c r="M196" s="129">
        <v>86.915049873944966</v>
      </c>
      <c r="N196" s="129">
        <v>14091.751621872105</v>
      </c>
      <c r="O196" s="129"/>
      <c r="P196" s="117">
        <v>19591</v>
      </c>
      <c r="Q196" s="161">
        <v>42546</v>
      </c>
      <c r="R196" s="161">
        <v>0</v>
      </c>
      <c r="S196" s="161">
        <v>-22955</v>
      </c>
      <c r="T196" s="124">
        <v>9401</v>
      </c>
      <c r="U196" s="124">
        <v>16916</v>
      </c>
      <c r="V196" s="136"/>
      <c r="X196" s="116">
        <v>-331</v>
      </c>
      <c r="Y196" s="116">
        <v>-86</v>
      </c>
      <c r="Z196" s="161">
        <v>2945</v>
      </c>
      <c r="AA196" s="116">
        <v>1846</v>
      </c>
      <c r="AB196" s="116">
        <v>0</v>
      </c>
      <c r="AD196" s="161">
        <v>1099</v>
      </c>
      <c r="AE196" s="116">
        <v>1</v>
      </c>
      <c r="AF196" s="116">
        <v>11</v>
      </c>
      <c r="AG196" s="116">
        <v>0</v>
      </c>
      <c r="AH196" s="116">
        <v>0</v>
      </c>
      <c r="AI196" s="160">
        <v>1111</v>
      </c>
      <c r="AJ196" s="161">
        <v>2964</v>
      </c>
      <c r="AK196" s="161">
        <v>3040</v>
      </c>
      <c r="AL196" s="150"/>
      <c r="AM196" s="161">
        <v>-351</v>
      </c>
      <c r="AN196" s="161">
        <v>-1261</v>
      </c>
      <c r="AO196" s="160">
        <v>1769</v>
      </c>
      <c r="AQ196" s="160"/>
      <c r="AR196" s="117"/>
      <c r="AS196" s="117"/>
      <c r="AT196" s="99">
        <v>21.75</v>
      </c>
      <c r="AU196" s="130"/>
      <c r="AV196" s="262">
        <v>32</v>
      </c>
      <c r="AW196" s="267">
        <v>3183</v>
      </c>
      <c r="AX196" s="124"/>
      <c r="AY196" s="255">
        <v>1.6909814323607426</v>
      </c>
      <c r="AZ196" s="259">
        <v>46.734236683559168</v>
      </c>
      <c r="BA196" s="160">
        <v>-2714.7345271756203</v>
      </c>
      <c r="BB196" s="130"/>
      <c r="BC196" s="130"/>
      <c r="BD196" s="130"/>
      <c r="BE196" s="128">
        <v>48.309546903145353</v>
      </c>
      <c r="BF196" s="160">
        <v>2814.9544454916745</v>
      </c>
      <c r="BG196" s="129">
        <v>83.820588173111489</v>
      </c>
      <c r="BH196" s="131">
        <v>14859.880615771284</v>
      </c>
      <c r="BI196" s="124"/>
      <c r="BJ196" s="117">
        <v>19136</v>
      </c>
      <c r="BK196" s="117">
        <v>43465</v>
      </c>
      <c r="BL196" s="161">
        <v>0</v>
      </c>
      <c r="BM196" s="161">
        <v>-24329</v>
      </c>
      <c r="BN196" s="117">
        <v>9977</v>
      </c>
      <c r="BO196" s="117">
        <v>16864</v>
      </c>
      <c r="BP196" s="136"/>
      <c r="BR196" s="160">
        <v>-323</v>
      </c>
      <c r="BS196" s="160">
        <v>37</v>
      </c>
      <c r="BT196" s="161">
        <v>2226</v>
      </c>
      <c r="BU196" s="125">
        <v>2404</v>
      </c>
      <c r="BV196" s="160">
        <v>0</v>
      </c>
      <c r="BX196" s="161">
        <v>-178</v>
      </c>
      <c r="BY196" s="160">
        <v>-1</v>
      </c>
      <c r="BZ196" s="160">
        <v>2</v>
      </c>
      <c r="CA196" s="160">
        <v>0</v>
      </c>
      <c r="CB196" s="160">
        <v>0</v>
      </c>
      <c r="CC196" s="160">
        <v>-177</v>
      </c>
      <c r="CD196" s="160">
        <v>2776</v>
      </c>
      <c r="CE196" s="116">
        <v>2221</v>
      </c>
      <c r="CF196" s="150"/>
      <c r="CG196" s="161">
        <v>-166</v>
      </c>
      <c r="CH196" s="160">
        <v>-1184</v>
      </c>
      <c r="CI196" s="159">
        <v>42</v>
      </c>
      <c r="CK196" s="124"/>
      <c r="CL196" s="161"/>
      <c r="CM196" s="124"/>
      <c r="CN196" s="265">
        <v>21.75</v>
      </c>
      <c r="CO196" s="130"/>
      <c r="CP196" s="116">
        <v>60</v>
      </c>
      <c r="CQ196" s="267">
        <v>3117</v>
      </c>
      <c r="CR196" s="124"/>
      <c r="CS196" s="268">
        <v>2.0033715441672286</v>
      </c>
      <c r="CT196" s="269">
        <v>46.698343338353517</v>
      </c>
      <c r="CU196" s="160">
        <v>-3026.9489894128969</v>
      </c>
      <c r="CV196" s="130"/>
      <c r="CW196" s="130"/>
      <c r="CX196" s="130"/>
      <c r="CY196" s="269">
        <v>48.609358095924989</v>
      </c>
      <c r="CZ196" s="125">
        <v>2741.4180301572023</v>
      </c>
      <c r="DA196" s="125">
        <v>62.97932273892939</v>
      </c>
      <c r="DB196" s="273">
        <v>15888.033365415464</v>
      </c>
      <c r="DC196" s="124"/>
      <c r="DD196" s="117">
        <v>18898</v>
      </c>
      <c r="DE196" s="117">
        <v>44276</v>
      </c>
      <c r="DF196" s="117">
        <v>0</v>
      </c>
      <c r="DG196" s="117">
        <v>-25378</v>
      </c>
      <c r="DH196" s="117">
        <v>10215</v>
      </c>
      <c r="DI196" s="117">
        <v>18030</v>
      </c>
      <c r="DJ196" s="136"/>
      <c r="DL196" s="160">
        <v>-275</v>
      </c>
      <c r="DM196" s="160">
        <v>104</v>
      </c>
      <c r="DN196" s="161">
        <v>2696</v>
      </c>
      <c r="DO196" s="116">
        <v>1949</v>
      </c>
      <c r="DP196" s="160">
        <v>-1</v>
      </c>
      <c r="DR196" s="161">
        <v>746</v>
      </c>
      <c r="DS196" s="116">
        <v>-1</v>
      </c>
      <c r="DT196" s="116">
        <v>0</v>
      </c>
      <c r="DU196" s="116">
        <v>0</v>
      </c>
      <c r="DV196" s="116">
        <v>1</v>
      </c>
      <c r="DW196" s="160">
        <v>746</v>
      </c>
      <c r="DX196" s="160">
        <v>3562</v>
      </c>
      <c r="DY196" s="116">
        <v>2586</v>
      </c>
      <c r="DZ196" s="150"/>
      <c r="EA196" s="117">
        <v>-180</v>
      </c>
      <c r="EB196" s="116">
        <v>-1208</v>
      </c>
      <c r="EC196" s="159">
        <v>-910</v>
      </c>
      <c r="EE196" s="125"/>
      <c r="EF196" s="161"/>
      <c r="EG196" s="124"/>
      <c r="EH196" s="253">
        <v>21.75</v>
      </c>
      <c r="EI196" s="130"/>
      <c r="EJ196" s="125">
        <v>203</v>
      </c>
      <c r="EK196" s="116"/>
      <c r="EL196" s="159"/>
      <c r="EN196" s="116"/>
      <c r="EO196" s="116"/>
      <c r="EP196" s="159"/>
      <c r="EQ196" s="159">
        <v>-1318</v>
      </c>
      <c r="ER196" s="116">
        <v>18</v>
      </c>
      <c r="ES196" s="116">
        <v>29</v>
      </c>
      <c r="ET196" s="160">
        <v>-2259</v>
      </c>
      <c r="EU196" s="116">
        <v>53</v>
      </c>
      <c r="EV196" s="116">
        <v>27</v>
      </c>
      <c r="EW196" s="160">
        <v>-3712</v>
      </c>
      <c r="EX196" s="160">
        <v>207</v>
      </c>
      <c r="EY196" s="160">
        <v>9</v>
      </c>
      <c r="EZ196" s="116">
        <v>15</v>
      </c>
      <c r="FA196" s="116">
        <v>0</v>
      </c>
      <c r="FB196" s="116">
        <v>616</v>
      </c>
      <c r="FC196" s="160">
        <v>0</v>
      </c>
      <c r="FD196" s="116">
        <v>1290</v>
      </c>
      <c r="FE196" s="116">
        <v>0</v>
      </c>
      <c r="FF196" s="3">
        <v>16804</v>
      </c>
      <c r="FG196" s="3">
        <v>15677</v>
      </c>
      <c r="FH196" s="3">
        <v>1127</v>
      </c>
      <c r="FI196" s="3">
        <v>366</v>
      </c>
      <c r="FJ196" s="125">
        <v>16353</v>
      </c>
      <c r="FK196" s="160">
        <v>15246</v>
      </c>
      <c r="FL196" s="125">
        <v>1107</v>
      </c>
      <c r="FM196" s="116">
        <v>366</v>
      </c>
      <c r="FN196" s="125">
        <v>16536</v>
      </c>
      <c r="FO196" s="116">
        <v>15426</v>
      </c>
      <c r="FP196" s="116">
        <v>1110</v>
      </c>
      <c r="FQ196" s="116">
        <v>-180</v>
      </c>
      <c r="FR196" s="153">
        <v>4880</v>
      </c>
      <c r="FS196" s="153">
        <v>4484</v>
      </c>
      <c r="FT196" s="276">
        <v>3807</v>
      </c>
      <c r="FU196" s="3">
        <v>39</v>
      </c>
      <c r="FV196" s="159">
        <v>32</v>
      </c>
      <c r="FW196" s="170"/>
      <c r="FZ196" s="155"/>
      <c r="GA196" s="2"/>
      <c r="GD196" s="163"/>
      <c r="GE196" s="2"/>
      <c r="GF196" s="2"/>
    </row>
    <row r="197" spans="1:188" ht="14.5" x14ac:dyDescent="0.35">
      <c r="A197" s="72">
        <v>615</v>
      </c>
      <c r="B197" s="70" t="s">
        <v>188</v>
      </c>
      <c r="C197" s="158">
        <v>7990</v>
      </c>
      <c r="D197" s="171"/>
      <c r="E197" s="128">
        <v>0.2287464515165098</v>
      </c>
      <c r="F197" s="128">
        <v>59.514055186109189</v>
      </c>
      <c r="G197" s="129">
        <v>-5334.1677096370458</v>
      </c>
      <c r="H197" s="216"/>
      <c r="I197" s="172"/>
      <c r="J197" s="218"/>
      <c r="K197" s="128">
        <v>43.697165683850102</v>
      </c>
      <c r="L197" s="129">
        <v>2596.6207759699628</v>
      </c>
      <c r="M197" s="129">
        <v>54.755674299886479</v>
      </c>
      <c r="N197" s="129">
        <v>17309.011264080102</v>
      </c>
      <c r="O197" s="129"/>
      <c r="P197" s="117">
        <v>61726</v>
      </c>
      <c r="Q197" s="161">
        <v>119006</v>
      </c>
      <c r="R197" s="161">
        <v>-1</v>
      </c>
      <c r="S197" s="161">
        <v>-57281</v>
      </c>
      <c r="T197" s="124">
        <v>22246</v>
      </c>
      <c r="U197" s="124">
        <v>35877</v>
      </c>
      <c r="V197" s="136"/>
      <c r="X197" s="116">
        <v>-461</v>
      </c>
      <c r="Y197" s="116">
        <v>522</v>
      </c>
      <c r="Z197" s="161">
        <v>903</v>
      </c>
      <c r="AA197" s="116">
        <v>6127</v>
      </c>
      <c r="AB197" s="116">
        <v>557</v>
      </c>
      <c r="AD197" s="161">
        <v>-4667</v>
      </c>
      <c r="AE197" s="117">
        <v>-3</v>
      </c>
      <c r="AF197" s="117">
        <v>674</v>
      </c>
      <c r="AG197" s="116">
        <v>-41</v>
      </c>
      <c r="AH197" s="116">
        <v>-4</v>
      </c>
      <c r="AI197" s="160">
        <v>-4041</v>
      </c>
      <c r="AJ197" s="161">
        <v>8676</v>
      </c>
      <c r="AK197" s="161">
        <v>947</v>
      </c>
      <c r="AL197" s="150"/>
      <c r="AM197" s="161">
        <v>1188</v>
      </c>
      <c r="AN197" s="161">
        <v>-6065</v>
      </c>
      <c r="AO197" s="160">
        <v>-9423</v>
      </c>
      <c r="AQ197" s="160"/>
      <c r="AR197" s="117"/>
      <c r="AS197" s="117"/>
      <c r="AT197" s="99">
        <v>20.5</v>
      </c>
      <c r="AU197" s="130"/>
      <c r="AV197" s="262">
        <v>273</v>
      </c>
      <c r="AW197" s="267">
        <v>7873</v>
      </c>
      <c r="AX197" s="124"/>
      <c r="AY197" s="255">
        <v>0.62492697176241485</v>
      </c>
      <c r="AZ197" s="259">
        <v>66.231382676346868</v>
      </c>
      <c r="BA197" s="160">
        <v>-6895.9735805918963</v>
      </c>
      <c r="BB197" s="130"/>
      <c r="BC197" s="130"/>
      <c r="BD197" s="130"/>
      <c r="BE197" s="128">
        <v>40.003895007898208</v>
      </c>
      <c r="BF197" s="160">
        <v>2406.833481519116</v>
      </c>
      <c r="BG197" s="129">
        <v>52.739508030030777</v>
      </c>
      <c r="BH197" s="131">
        <v>18237.774672932806</v>
      </c>
      <c r="BI197" s="124"/>
      <c r="BJ197" s="117">
        <v>63789</v>
      </c>
      <c r="BK197" s="117">
        <v>120896</v>
      </c>
      <c r="BL197" s="161">
        <v>4</v>
      </c>
      <c r="BM197" s="161">
        <v>-57103</v>
      </c>
      <c r="BN197" s="117">
        <v>22906</v>
      </c>
      <c r="BO197" s="117">
        <v>36443</v>
      </c>
      <c r="BP197" s="136"/>
      <c r="BR197" s="160">
        <v>-229</v>
      </c>
      <c r="BS197" s="160">
        <v>646</v>
      </c>
      <c r="BT197" s="161">
        <v>2663</v>
      </c>
      <c r="BU197" s="125">
        <v>6358</v>
      </c>
      <c r="BV197" s="160">
        <v>0</v>
      </c>
      <c r="BX197" s="161">
        <v>-3695</v>
      </c>
      <c r="BY197" s="161">
        <v>-1</v>
      </c>
      <c r="BZ197" s="161">
        <v>453</v>
      </c>
      <c r="CA197" s="160">
        <v>40</v>
      </c>
      <c r="CB197" s="160">
        <v>-2</v>
      </c>
      <c r="CC197" s="160">
        <v>-3285</v>
      </c>
      <c r="CD197" s="160">
        <v>5164</v>
      </c>
      <c r="CE197" s="116">
        <v>2995</v>
      </c>
      <c r="CF197" s="150"/>
      <c r="CG197" s="161">
        <v>2006</v>
      </c>
      <c r="CH197" s="160">
        <v>-4589</v>
      </c>
      <c r="CI197" s="159">
        <v>-12822</v>
      </c>
      <c r="CK197" s="124"/>
      <c r="CL197" s="161"/>
      <c r="CM197" s="124"/>
      <c r="CN197" s="265">
        <v>20.5</v>
      </c>
      <c r="CO197" s="130"/>
      <c r="CP197" s="116">
        <v>190</v>
      </c>
      <c r="CQ197" s="267">
        <v>7779</v>
      </c>
      <c r="CR197" s="124"/>
      <c r="CS197" s="268">
        <v>1.4608469836196565</v>
      </c>
      <c r="CT197" s="269">
        <v>72.773189229021469</v>
      </c>
      <c r="CU197" s="160">
        <v>-8218.5370870291808</v>
      </c>
      <c r="CV197" s="130"/>
      <c r="CW197" s="130"/>
      <c r="CX197" s="130"/>
      <c r="CY197" s="269">
        <v>36.026053008976469</v>
      </c>
      <c r="CZ197" s="125">
        <v>2818.4856665381153</v>
      </c>
      <c r="DA197" s="125">
        <v>54.718429275697261</v>
      </c>
      <c r="DB197" s="273">
        <v>18800.745597120454</v>
      </c>
      <c r="DC197" s="124"/>
      <c r="DD197" s="117">
        <v>66557</v>
      </c>
      <c r="DE197" s="117">
        <v>123221</v>
      </c>
      <c r="DF197" s="117">
        <v>-50</v>
      </c>
      <c r="DG197" s="117">
        <v>-56714</v>
      </c>
      <c r="DH197" s="117">
        <v>23253</v>
      </c>
      <c r="DI197" s="117">
        <v>40466</v>
      </c>
      <c r="DJ197" s="136"/>
      <c r="DL197" s="160">
        <v>-470</v>
      </c>
      <c r="DM197" s="160">
        <v>260</v>
      </c>
      <c r="DN197" s="161">
        <v>6795</v>
      </c>
      <c r="DO197" s="116">
        <v>6389</v>
      </c>
      <c r="DP197" s="160">
        <v>0</v>
      </c>
      <c r="DR197" s="161">
        <v>406</v>
      </c>
      <c r="DS197" s="117">
        <v>-32</v>
      </c>
      <c r="DT197" s="117">
        <v>285</v>
      </c>
      <c r="DU197" s="116">
        <v>0</v>
      </c>
      <c r="DV197" s="116">
        <v>0</v>
      </c>
      <c r="DW197" s="160">
        <v>659</v>
      </c>
      <c r="DX197" s="160">
        <v>5011</v>
      </c>
      <c r="DY197" s="116">
        <v>5913</v>
      </c>
      <c r="DZ197" s="150"/>
      <c r="EA197" s="117">
        <v>1804</v>
      </c>
      <c r="EB197" s="116">
        <v>-4488</v>
      </c>
      <c r="EC197" s="159">
        <v>-10262</v>
      </c>
      <c r="EE197" s="125"/>
      <c r="EF197" s="161"/>
      <c r="EG197" s="124"/>
      <c r="EH197" s="253">
        <v>20.5</v>
      </c>
      <c r="EI197" s="130"/>
      <c r="EJ197" s="125">
        <v>201</v>
      </c>
      <c r="EK197" s="116"/>
      <c r="EL197" s="159"/>
      <c r="EN197" s="116"/>
      <c r="EO197" s="116"/>
      <c r="EP197" s="159"/>
      <c r="EQ197" s="159">
        <v>-12544</v>
      </c>
      <c r="ER197" s="116">
        <v>388</v>
      </c>
      <c r="ES197" s="116">
        <v>1786</v>
      </c>
      <c r="ET197" s="160">
        <v>-17259</v>
      </c>
      <c r="EU197" s="116">
        <v>1154</v>
      </c>
      <c r="EV197" s="116">
        <v>288</v>
      </c>
      <c r="EW197" s="160">
        <v>-17223</v>
      </c>
      <c r="EX197" s="160">
        <v>448</v>
      </c>
      <c r="EY197" s="160">
        <v>600</v>
      </c>
      <c r="EZ197" s="116">
        <v>10132</v>
      </c>
      <c r="FA197" s="116">
        <v>1460</v>
      </c>
      <c r="FB197" s="116">
        <v>9641</v>
      </c>
      <c r="FC197" s="160">
        <v>3039</v>
      </c>
      <c r="FD197" s="116">
        <v>20226</v>
      </c>
      <c r="FE197" s="116">
        <v>-2500</v>
      </c>
      <c r="FF197" s="3">
        <v>52963</v>
      </c>
      <c r="FG197" s="3">
        <v>42534</v>
      </c>
      <c r="FH197" s="3">
        <v>10429</v>
      </c>
      <c r="FI197" s="3">
        <v>804</v>
      </c>
      <c r="FJ197" s="125">
        <v>61524</v>
      </c>
      <c r="FK197" s="160">
        <v>47205</v>
      </c>
      <c r="FL197" s="125">
        <v>14319</v>
      </c>
      <c r="FM197" s="116">
        <v>403</v>
      </c>
      <c r="FN197" s="125">
        <v>75236</v>
      </c>
      <c r="FO197" s="116">
        <v>62054</v>
      </c>
      <c r="FP197" s="116">
        <v>13182</v>
      </c>
      <c r="FQ197" s="116">
        <v>1804</v>
      </c>
      <c r="FR197" s="153">
        <v>21667</v>
      </c>
      <c r="FS197" s="153">
        <v>21938</v>
      </c>
      <c r="FT197" s="276">
        <v>4512</v>
      </c>
      <c r="FU197" s="3">
        <v>53467</v>
      </c>
      <c r="FV197" s="159">
        <v>52198</v>
      </c>
      <c r="FW197" s="170"/>
      <c r="FZ197" s="155"/>
      <c r="GA197" s="2"/>
      <c r="GD197" s="163"/>
      <c r="GE197" s="2"/>
      <c r="GF197" s="2"/>
    </row>
    <row r="198" spans="1:188" ht="14.5" x14ac:dyDescent="0.35">
      <c r="A198" s="72">
        <v>616</v>
      </c>
      <c r="B198" s="70" t="s">
        <v>189</v>
      </c>
      <c r="C198" s="158">
        <v>1899</v>
      </c>
      <c r="D198" s="171"/>
      <c r="E198" s="128">
        <v>-0.32529444756029163</v>
      </c>
      <c r="F198" s="128">
        <v>43.989542741577466</v>
      </c>
      <c r="G198" s="129">
        <v>-2797.7883096366509</v>
      </c>
      <c r="H198" s="216"/>
      <c r="I198" s="172"/>
      <c r="J198" s="218"/>
      <c r="K198" s="128">
        <v>43.04131815609081</v>
      </c>
      <c r="L198" s="129">
        <v>1342.8120063191154</v>
      </c>
      <c r="M198" s="129">
        <v>40.015047291487534</v>
      </c>
      <c r="N198" s="129">
        <v>12248.551869404952</v>
      </c>
      <c r="O198" s="129"/>
      <c r="P198" s="117">
        <v>10152</v>
      </c>
      <c r="Q198" s="161">
        <v>21036</v>
      </c>
      <c r="R198" s="161">
        <v>0</v>
      </c>
      <c r="S198" s="161">
        <v>-10884</v>
      </c>
      <c r="T198" s="124">
        <v>6501</v>
      </c>
      <c r="U198" s="124">
        <v>3620</v>
      </c>
      <c r="V198" s="136"/>
      <c r="X198" s="116">
        <v>-28</v>
      </c>
      <c r="Y198" s="116">
        <v>150</v>
      </c>
      <c r="Z198" s="161">
        <v>-641</v>
      </c>
      <c r="AA198" s="116">
        <v>530</v>
      </c>
      <c r="AB198" s="117">
        <v>-6</v>
      </c>
      <c r="AD198" s="161">
        <v>-1177</v>
      </c>
      <c r="AE198" s="117">
        <v>0</v>
      </c>
      <c r="AF198" s="117">
        <v>-1</v>
      </c>
      <c r="AG198" s="116">
        <v>0</v>
      </c>
      <c r="AH198" s="117">
        <v>-1</v>
      </c>
      <c r="AI198" s="160">
        <v>-1179</v>
      </c>
      <c r="AJ198" s="161">
        <v>2291</v>
      </c>
      <c r="AK198" s="161">
        <v>-541</v>
      </c>
      <c r="AL198" s="150"/>
      <c r="AM198" s="161">
        <v>536</v>
      </c>
      <c r="AN198" s="161">
        <v>-1722</v>
      </c>
      <c r="AO198" s="160">
        <v>-659</v>
      </c>
      <c r="AQ198" s="160"/>
      <c r="AR198" s="117"/>
      <c r="AS198" s="117"/>
      <c r="AT198" s="99">
        <v>21.5</v>
      </c>
      <c r="AU198" s="130"/>
      <c r="AV198" s="262">
        <v>293</v>
      </c>
      <c r="AW198" s="267">
        <v>1860</v>
      </c>
      <c r="AX198" s="124"/>
      <c r="AY198" s="255">
        <v>-1.2403846153846154</v>
      </c>
      <c r="AZ198" s="259">
        <v>42.064916792004269</v>
      </c>
      <c r="BA198" s="160">
        <v>-3367.2043010752686</v>
      </c>
      <c r="BB198" s="130"/>
      <c r="BC198" s="130"/>
      <c r="BD198" s="130"/>
      <c r="BE198" s="128">
        <v>39.645907963626343</v>
      </c>
      <c r="BF198" s="160">
        <v>733.87096774193549</v>
      </c>
      <c r="BG198" s="129">
        <v>42.090625423958755</v>
      </c>
      <c r="BH198" s="131">
        <v>11888.709677419354</v>
      </c>
      <c r="BI198" s="124"/>
      <c r="BJ198" s="117">
        <v>10427</v>
      </c>
      <c r="BK198" s="117">
        <v>21316</v>
      </c>
      <c r="BL198" s="161">
        <v>4</v>
      </c>
      <c r="BM198" s="161">
        <v>-10885</v>
      </c>
      <c r="BN198" s="117">
        <v>6761</v>
      </c>
      <c r="BO198" s="117">
        <v>3423</v>
      </c>
      <c r="BP198" s="136"/>
      <c r="BR198" s="160">
        <v>-24</v>
      </c>
      <c r="BS198" s="160">
        <v>153</v>
      </c>
      <c r="BT198" s="161">
        <v>-572</v>
      </c>
      <c r="BU198" s="125">
        <v>519</v>
      </c>
      <c r="BV198" s="161">
        <v>0</v>
      </c>
      <c r="BW198" s="117"/>
      <c r="BX198" s="161">
        <v>-1091</v>
      </c>
      <c r="BY198" s="161">
        <v>-1</v>
      </c>
      <c r="BZ198" s="160">
        <v>0</v>
      </c>
      <c r="CA198" s="161">
        <v>0</v>
      </c>
      <c r="CB198" s="161">
        <v>0</v>
      </c>
      <c r="CC198" s="160">
        <v>-1092</v>
      </c>
      <c r="CD198" s="160">
        <v>1200</v>
      </c>
      <c r="CE198" s="116">
        <v>-609</v>
      </c>
      <c r="CF198" s="150"/>
      <c r="CG198" s="161">
        <v>12</v>
      </c>
      <c r="CH198" s="160">
        <v>-360</v>
      </c>
      <c r="CI198" s="159">
        <v>-931</v>
      </c>
      <c r="CK198" s="124"/>
      <c r="CL198" s="161"/>
      <c r="CM198" s="124"/>
      <c r="CN198" s="265">
        <v>21.5</v>
      </c>
      <c r="CO198" s="130"/>
      <c r="CP198" s="116">
        <v>286</v>
      </c>
      <c r="CQ198" s="267">
        <v>1833</v>
      </c>
      <c r="CR198" s="124"/>
      <c r="CS198" s="268">
        <v>16.673076923076923</v>
      </c>
      <c r="CT198" s="269">
        <v>39.405803777061259</v>
      </c>
      <c r="CU198" s="160">
        <v>-3222.5859247135845</v>
      </c>
      <c r="CV198" s="130"/>
      <c r="CW198" s="130"/>
      <c r="CX198" s="130"/>
      <c r="CY198" s="269">
        <v>40.562248995983936</v>
      </c>
      <c r="CZ198" s="125">
        <v>977.0867430441898</v>
      </c>
      <c r="DA198" s="125">
        <v>29.948460692688293</v>
      </c>
      <c r="DB198" s="273">
        <v>11908.346972176758</v>
      </c>
      <c r="DC198" s="124"/>
      <c r="DD198" s="117">
        <v>10350</v>
      </c>
      <c r="DE198" s="117">
        <v>21041</v>
      </c>
      <c r="DF198" s="117">
        <v>1</v>
      </c>
      <c r="DG198" s="117">
        <v>-10690</v>
      </c>
      <c r="DH198" s="117">
        <v>6997</v>
      </c>
      <c r="DI198" s="117">
        <v>4363</v>
      </c>
      <c r="DJ198" s="136"/>
      <c r="DL198" s="160">
        <v>-13</v>
      </c>
      <c r="DM198" s="160">
        <v>164</v>
      </c>
      <c r="DN198" s="161">
        <v>821</v>
      </c>
      <c r="DO198" s="116">
        <v>527</v>
      </c>
      <c r="DP198" s="161">
        <v>13</v>
      </c>
      <c r="DQ198" s="117"/>
      <c r="DR198" s="161">
        <v>307</v>
      </c>
      <c r="DS198" s="117">
        <v>-1</v>
      </c>
      <c r="DT198" s="116">
        <v>0</v>
      </c>
      <c r="DU198" s="117">
        <v>0</v>
      </c>
      <c r="DV198" s="117">
        <v>0</v>
      </c>
      <c r="DW198" s="160">
        <v>306</v>
      </c>
      <c r="DX198" s="160">
        <v>1504</v>
      </c>
      <c r="DY198" s="116">
        <v>800</v>
      </c>
      <c r="DZ198" s="150"/>
      <c r="EA198" s="117">
        <v>186</v>
      </c>
      <c r="EB198" s="116">
        <v>-6</v>
      </c>
      <c r="EC198" s="159">
        <v>273</v>
      </c>
      <c r="EE198" s="125"/>
      <c r="EF198" s="161"/>
      <c r="EG198" s="124"/>
      <c r="EH198" s="253">
        <v>21.5</v>
      </c>
      <c r="EI198" s="130"/>
      <c r="EJ198" s="125">
        <v>285</v>
      </c>
      <c r="EK198" s="116"/>
      <c r="EL198" s="159"/>
      <c r="EN198" s="116"/>
      <c r="EO198" s="116"/>
      <c r="EP198" s="159"/>
      <c r="EQ198" s="159">
        <v>-438</v>
      </c>
      <c r="ER198" s="116">
        <v>0</v>
      </c>
      <c r="ES198" s="116">
        <v>320</v>
      </c>
      <c r="ET198" s="160">
        <v>-378</v>
      </c>
      <c r="EU198" s="116">
        <v>0</v>
      </c>
      <c r="EV198" s="116">
        <v>56</v>
      </c>
      <c r="EW198" s="160">
        <v>-732</v>
      </c>
      <c r="EX198" s="160">
        <v>118</v>
      </c>
      <c r="EY198" s="160">
        <v>87</v>
      </c>
      <c r="EZ198" s="116">
        <v>2</v>
      </c>
      <c r="FA198" s="116">
        <v>1357</v>
      </c>
      <c r="FB198" s="116">
        <v>2093</v>
      </c>
      <c r="FC198" s="160">
        <v>-1199</v>
      </c>
      <c r="FD198" s="116">
        <v>1500</v>
      </c>
      <c r="FE198" s="116">
        <v>-1147</v>
      </c>
      <c r="FF198" s="3">
        <v>5546</v>
      </c>
      <c r="FG198" s="3">
        <v>3187</v>
      </c>
      <c r="FH198" s="3">
        <v>2359</v>
      </c>
      <c r="FI198" s="3">
        <v>512</v>
      </c>
      <c r="FJ198" s="125">
        <v>6079</v>
      </c>
      <c r="FK198" s="160">
        <v>4699</v>
      </c>
      <c r="FL198" s="125">
        <v>1380</v>
      </c>
      <c r="FM198" s="116">
        <v>509</v>
      </c>
      <c r="FN198" s="125">
        <v>6427</v>
      </c>
      <c r="FO198" s="116">
        <v>5471</v>
      </c>
      <c r="FP198" s="116">
        <v>956</v>
      </c>
      <c r="FQ198" s="116">
        <v>186</v>
      </c>
      <c r="FR198" s="153">
        <v>892</v>
      </c>
      <c r="FS198" s="153">
        <v>706</v>
      </c>
      <c r="FT198" s="276">
        <v>1820</v>
      </c>
      <c r="FU198" s="3">
        <v>4029</v>
      </c>
      <c r="FV198" s="159">
        <v>3369</v>
      </c>
      <c r="FW198" s="170"/>
      <c r="FZ198" s="155"/>
      <c r="GA198" s="2"/>
      <c r="GD198" s="163"/>
      <c r="GE198" s="2"/>
      <c r="GF198" s="2"/>
    </row>
    <row r="199" spans="1:188" ht="14.5" x14ac:dyDescent="0.35">
      <c r="A199" s="72">
        <v>619</v>
      </c>
      <c r="B199" s="70" t="s">
        <v>190</v>
      </c>
      <c r="C199" s="158">
        <v>2896</v>
      </c>
      <c r="D199" s="171"/>
      <c r="E199" s="128">
        <v>2.2068527918781724</v>
      </c>
      <c r="F199" s="128">
        <v>33.672698610791819</v>
      </c>
      <c r="G199" s="129">
        <v>-2101.5193370165748</v>
      </c>
      <c r="H199" s="216"/>
      <c r="I199" s="172"/>
      <c r="J199" s="218"/>
      <c r="K199" s="128">
        <v>57.472080817647289</v>
      </c>
      <c r="L199" s="129">
        <v>917.47237569060769</v>
      </c>
      <c r="M199" s="129">
        <v>30.16969979779126</v>
      </c>
      <c r="N199" s="129">
        <v>11099.792817679559</v>
      </c>
      <c r="O199" s="129"/>
      <c r="P199" s="117">
        <v>11464</v>
      </c>
      <c r="Q199" s="161">
        <v>28715</v>
      </c>
      <c r="R199" s="161">
        <v>2</v>
      </c>
      <c r="S199" s="161">
        <v>-17249</v>
      </c>
      <c r="T199" s="124">
        <v>8877</v>
      </c>
      <c r="U199" s="124">
        <v>10108</v>
      </c>
      <c r="V199" s="136"/>
      <c r="X199" s="116">
        <v>-56</v>
      </c>
      <c r="Y199" s="116">
        <v>2</v>
      </c>
      <c r="Z199" s="161">
        <v>1682</v>
      </c>
      <c r="AA199" s="116">
        <v>1631</v>
      </c>
      <c r="AB199" s="116">
        <v>0</v>
      </c>
      <c r="AD199" s="161">
        <v>51</v>
      </c>
      <c r="AE199" s="117">
        <v>0</v>
      </c>
      <c r="AF199" s="117">
        <v>0</v>
      </c>
      <c r="AG199" s="116">
        <v>0</v>
      </c>
      <c r="AH199" s="116">
        <v>0</v>
      </c>
      <c r="AI199" s="160">
        <v>51</v>
      </c>
      <c r="AJ199" s="161">
        <v>4283</v>
      </c>
      <c r="AK199" s="161">
        <v>1694</v>
      </c>
      <c r="AL199" s="150"/>
      <c r="AM199" s="161">
        <v>-505</v>
      </c>
      <c r="AN199" s="161">
        <v>-731</v>
      </c>
      <c r="AO199" s="160">
        <v>-791</v>
      </c>
      <c r="AQ199" s="160"/>
      <c r="AR199" s="117"/>
      <c r="AS199" s="117"/>
      <c r="AT199" s="99">
        <v>22</v>
      </c>
      <c r="AU199" s="130"/>
      <c r="AV199" s="262">
        <v>121</v>
      </c>
      <c r="AW199" s="267">
        <v>2828</v>
      </c>
      <c r="AX199" s="124"/>
      <c r="AY199" s="255">
        <v>2.0897666068222622</v>
      </c>
      <c r="AZ199" s="259">
        <v>49.414754865895254</v>
      </c>
      <c r="BA199" s="160">
        <v>-4047.0297029702974</v>
      </c>
      <c r="BB199" s="130"/>
      <c r="BC199" s="130"/>
      <c r="BD199" s="130"/>
      <c r="BE199" s="128">
        <v>48.081954401821207</v>
      </c>
      <c r="BF199" s="160">
        <v>676.09618104667618</v>
      </c>
      <c r="BG199" s="129">
        <v>26.926895055892331</v>
      </c>
      <c r="BH199" s="131">
        <v>12716.407355021216</v>
      </c>
      <c r="BI199" s="124"/>
      <c r="BJ199" s="117">
        <v>11037</v>
      </c>
      <c r="BK199" s="117">
        <v>28752</v>
      </c>
      <c r="BL199" s="161">
        <v>8</v>
      </c>
      <c r="BM199" s="161">
        <v>-17707</v>
      </c>
      <c r="BN199" s="117">
        <v>8944</v>
      </c>
      <c r="BO199" s="117">
        <v>9921</v>
      </c>
      <c r="BP199" s="136"/>
      <c r="BR199" s="160">
        <v>-78</v>
      </c>
      <c r="BS199" s="160">
        <v>6</v>
      </c>
      <c r="BT199" s="161">
        <v>1086</v>
      </c>
      <c r="BU199" s="125">
        <v>1500</v>
      </c>
      <c r="BV199" s="160">
        <v>0</v>
      </c>
      <c r="BX199" s="161">
        <v>-414</v>
      </c>
      <c r="BY199" s="161">
        <v>0</v>
      </c>
      <c r="BZ199" s="161">
        <v>0</v>
      </c>
      <c r="CA199" s="160">
        <v>0</v>
      </c>
      <c r="CB199" s="160">
        <v>0</v>
      </c>
      <c r="CC199" s="160">
        <v>-414</v>
      </c>
      <c r="CD199" s="160">
        <v>3867</v>
      </c>
      <c r="CE199" s="116">
        <v>1075</v>
      </c>
      <c r="CF199" s="150"/>
      <c r="CG199" s="161">
        <v>89</v>
      </c>
      <c r="CH199" s="160">
        <v>-479</v>
      </c>
      <c r="CI199" s="159">
        <v>-5493</v>
      </c>
      <c r="CK199" s="124"/>
      <c r="CL199" s="161"/>
      <c r="CM199" s="124"/>
      <c r="CN199" s="265">
        <v>22</v>
      </c>
      <c r="CO199" s="130"/>
      <c r="CP199" s="116">
        <v>168</v>
      </c>
      <c r="CQ199" s="267">
        <v>2785</v>
      </c>
      <c r="CR199" s="124"/>
      <c r="CS199" s="268">
        <v>2.2895622895622894</v>
      </c>
      <c r="CT199" s="269">
        <v>47.379210293932132</v>
      </c>
      <c r="CU199" s="160">
        <v>-3602.154398563734</v>
      </c>
      <c r="CV199" s="130"/>
      <c r="CW199" s="130"/>
      <c r="CX199" s="130"/>
      <c r="CY199" s="269">
        <v>48.82457526669301</v>
      </c>
      <c r="CZ199" s="125">
        <v>1214.0035906642729</v>
      </c>
      <c r="DA199" s="125">
        <v>39.174179417179865</v>
      </c>
      <c r="DB199" s="273">
        <v>11311.310592459606</v>
      </c>
      <c r="DC199" s="124"/>
      <c r="DD199" s="117">
        <v>11215</v>
      </c>
      <c r="DE199" s="117">
        <v>29002</v>
      </c>
      <c r="DF199" s="117">
        <v>9</v>
      </c>
      <c r="DG199" s="117">
        <v>-17778</v>
      </c>
      <c r="DH199" s="117">
        <v>9168</v>
      </c>
      <c r="DI199" s="117">
        <v>11325</v>
      </c>
      <c r="DJ199" s="136"/>
      <c r="DL199" s="160">
        <v>-84</v>
      </c>
      <c r="DM199" s="160">
        <v>5</v>
      </c>
      <c r="DN199" s="161">
        <v>2636</v>
      </c>
      <c r="DO199" s="116">
        <v>1957</v>
      </c>
      <c r="DP199" s="160">
        <v>0</v>
      </c>
      <c r="DR199" s="161">
        <v>679</v>
      </c>
      <c r="DS199" s="117">
        <v>-1</v>
      </c>
      <c r="DT199" s="117">
        <v>0</v>
      </c>
      <c r="DU199" s="116">
        <v>0</v>
      </c>
      <c r="DV199" s="116">
        <v>1</v>
      </c>
      <c r="DW199" s="160">
        <v>679</v>
      </c>
      <c r="DX199" s="160">
        <v>4538</v>
      </c>
      <c r="DY199" s="116">
        <v>2612</v>
      </c>
      <c r="DZ199" s="150"/>
      <c r="EA199" s="117">
        <v>-138</v>
      </c>
      <c r="EB199" s="116">
        <v>-1104</v>
      </c>
      <c r="EC199" s="159">
        <v>1405</v>
      </c>
      <c r="EE199" s="125"/>
      <c r="EF199" s="161"/>
      <c r="EG199" s="124"/>
      <c r="EH199" s="253">
        <v>22</v>
      </c>
      <c r="EI199" s="130"/>
      <c r="EJ199" s="125">
        <v>155</v>
      </c>
      <c r="EK199" s="116"/>
      <c r="EL199" s="159"/>
      <c r="EN199" s="116"/>
      <c r="EO199" s="116"/>
      <c r="EP199" s="159"/>
      <c r="EQ199" s="159">
        <v>-2640</v>
      </c>
      <c r="ER199" s="116">
        <v>78</v>
      </c>
      <c r="ES199" s="116">
        <v>77</v>
      </c>
      <c r="ET199" s="160">
        <v>-6602</v>
      </c>
      <c r="EU199" s="116">
        <v>6</v>
      </c>
      <c r="EV199" s="116">
        <v>28</v>
      </c>
      <c r="EW199" s="160">
        <v>-1292</v>
      </c>
      <c r="EX199" s="160">
        <v>23</v>
      </c>
      <c r="EY199" s="160">
        <v>62</v>
      </c>
      <c r="EZ199" s="116">
        <v>2630</v>
      </c>
      <c r="FA199" s="116">
        <v>0</v>
      </c>
      <c r="FB199" s="116">
        <v>5010</v>
      </c>
      <c r="FC199" s="160">
        <v>0</v>
      </c>
      <c r="FD199" s="116">
        <v>800</v>
      </c>
      <c r="FE199" s="116">
        <v>388</v>
      </c>
      <c r="FF199" s="3">
        <v>6283</v>
      </c>
      <c r="FG199" s="3">
        <v>5821</v>
      </c>
      <c r="FH199" s="3">
        <v>462</v>
      </c>
      <c r="FI199" s="3">
        <v>0</v>
      </c>
      <c r="FJ199" s="125">
        <v>10826</v>
      </c>
      <c r="FK199" s="160">
        <v>9923</v>
      </c>
      <c r="FL199" s="125">
        <v>903</v>
      </c>
      <c r="FM199" s="116">
        <v>0</v>
      </c>
      <c r="FN199" s="125">
        <v>10908</v>
      </c>
      <c r="FO199" s="116">
        <v>9553</v>
      </c>
      <c r="FP199" s="116">
        <v>1355</v>
      </c>
      <c r="FQ199" s="116">
        <v>-138</v>
      </c>
      <c r="FR199" s="153">
        <v>1507</v>
      </c>
      <c r="FS199" s="153">
        <v>1252</v>
      </c>
      <c r="FT199" s="276">
        <v>1138</v>
      </c>
      <c r="FU199" s="3">
        <v>1182</v>
      </c>
      <c r="FV199" s="159">
        <v>1247</v>
      </c>
      <c r="FW199" s="170"/>
      <c r="FZ199" s="155"/>
      <c r="GA199" s="2"/>
      <c r="GD199" s="163"/>
      <c r="GE199" s="2"/>
      <c r="GF199" s="2"/>
    </row>
    <row r="200" spans="1:188" ht="14.5" x14ac:dyDescent="0.35">
      <c r="A200" s="72">
        <v>620</v>
      </c>
      <c r="B200" s="70" t="s">
        <v>191</v>
      </c>
      <c r="C200" s="158">
        <v>2597</v>
      </c>
      <c r="D200" s="171"/>
      <c r="E200" s="128">
        <v>0.8392461197339246</v>
      </c>
      <c r="F200" s="128">
        <v>44.871319267331323</v>
      </c>
      <c r="G200" s="129">
        <v>-4051.9830573738932</v>
      </c>
      <c r="H200" s="216"/>
      <c r="I200" s="172"/>
      <c r="J200" s="218"/>
      <c r="K200" s="128">
        <v>42.76980555319691</v>
      </c>
      <c r="L200" s="129">
        <v>1227.9553330766269</v>
      </c>
      <c r="M200" s="129">
        <v>25.054565413922251</v>
      </c>
      <c r="N200" s="129">
        <v>17889.102810935696</v>
      </c>
      <c r="O200" s="129"/>
      <c r="P200" s="117">
        <v>21176</v>
      </c>
      <c r="Q200" s="161">
        <v>42354</v>
      </c>
      <c r="R200" s="161">
        <v>0</v>
      </c>
      <c r="S200" s="161">
        <v>-21178</v>
      </c>
      <c r="T200" s="124">
        <v>8108</v>
      </c>
      <c r="U200" s="124">
        <v>13846</v>
      </c>
      <c r="V200" s="136"/>
      <c r="X200" s="116">
        <v>-64</v>
      </c>
      <c r="Y200" s="116">
        <v>-22</v>
      </c>
      <c r="Z200" s="161">
        <v>690</v>
      </c>
      <c r="AA200" s="116">
        <v>1644</v>
      </c>
      <c r="AB200" s="116">
        <v>-2</v>
      </c>
      <c r="AD200" s="161">
        <v>-956</v>
      </c>
      <c r="AE200" s="117">
        <v>0</v>
      </c>
      <c r="AF200" s="117">
        <v>4</v>
      </c>
      <c r="AG200" s="116">
        <v>0</v>
      </c>
      <c r="AH200" s="116">
        <v>-13</v>
      </c>
      <c r="AI200" s="160">
        <v>-965</v>
      </c>
      <c r="AJ200" s="161">
        <v>2197</v>
      </c>
      <c r="AK200" s="161">
        <v>909</v>
      </c>
      <c r="AL200" s="150"/>
      <c r="AM200" s="161">
        <v>-1044</v>
      </c>
      <c r="AN200" s="161">
        <v>-835</v>
      </c>
      <c r="AO200" s="160">
        <v>-1895</v>
      </c>
      <c r="AQ200" s="160"/>
      <c r="AR200" s="117"/>
      <c r="AS200" s="117"/>
      <c r="AT200" s="99">
        <v>21.5</v>
      </c>
      <c r="AU200" s="130"/>
      <c r="AV200" s="262">
        <v>236</v>
      </c>
      <c r="AW200" s="267">
        <v>2528</v>
      </c>
      <c r="AX200" s="124"/>
      <c r="AY200" s="255">
        <v>1.8394077448747153</v>
      </c>
      <c r="AZ200" s="259">
        <v>47.59667178582071</v>
      </c>
      <c r="BA200" s="160">
        <v>-4747.6265822784808</v>
      </c>
      <c r="BB200" s="130"/>
      <c r="BC200" s="130"/>
      <c r="BD200" s="130"/>
      <c r="BE200" s="128">
        <v>41.173086406224314</v>
      </c>
      <c r="BF200" s="160">
        <v>1225.4746835443038</v>
      </c>
      <c r="BG200" s="129">
        <v>24.420119584600862</v>
      </c>
      <c r="BH200" s="131">
        <v>18854.825949367088</v>
      </c>
      <c r="BI200" s="124"/>
      <c r="BJ200" s="117">
        <v>20975</v>
      </c>
      <c r="BK200" s="117">
        <v>41992</v>
      </c>
      <c r="BL200" s="161">
        <v>0</v>
      </c>
      <c r="BM200" s="161">
        <v>-21017</v>
      </c>
      <c r="BN200" s="117">
        <v>8469</v>
      </c>
      <c r="BO200" s="117">
        <v>14183</v>
      </c>
      <c r="BP200" s="136"/>
      <c r="BR200" s="160">
        <v>-83</v>
      </c>
      <c r="BS200" s="160">
        <v>-22</v>
      </c>
      <c r="BT200" s="161">
        <v>1530</v>
      </c>
      <c r="BU200" s="125">
        <v>1598</v>
      </c>
      <c r="BV200" s="160">
        <v>0</v>
      </c>
      <c r="BX200" s="161">
        <v>-68</v>
      </c>
      <c r="BY200" s="161">
        <v>-7</v>
      </c>
      <c r="BZ200" s="160">
        <v>5</v>
      </c>
      <c r="CA200" s="160">
        <v>0</v>
      </c>
      <c r="CB200" s="160">
        <v>-18</v>
      </c>
      <c r="CC200" s="160">
        <v>-88</v>
      </c>
      <c r="CD200" s="160">
        <v>2091</v>
      </c>
      <c r="CE200" s="116">
        <v>1206</v>
      </c>
      <c r="CF200" s="150"/>
      <c r="CG200" s="161">
        <v>413</v>
      </c>
      <c r="CH200" s="160">
        <v>-793</v>
      </c>
      <c r="CI200" s="159">
        <v>-1906</v>
      </c>
      <c r="CK200" s="124"/>
      <c r="CL200" s="161"/>
      <c r="CM200" s="124"/>
      <c r="CN200" s="265">
        <v>21.5</v>
      </c>
      <c r="CO200" s="130"/>
      <c r="CP200" s="116">
        <v>87</v>
      </c>
      <c r="CQ200" s="267">
        <v>2491</v>
      </c>
      <c r="CR200" s="124"/>
      <c r="CS200" s="268">
        <v>1.9091947458595089</v>
      </c>
      <c r="CT200" s="269">
        <v>46.097069516842609</v>
      </c>
      <c r="CU200" s="160">
        <v>-4684.8655158570855</v>
      </c>
      <c r="CV200" s="130"/>
      <c r="CW200" s="130"/>
      <c r="CX200" s="130"/>
      <c r="CY200" s="269">
        <v>42.397979529443042</v>
      </c>
      <c r="CZ200" s="125">
        <v>1605.7808109193095</v>
      </c>
      <c r="DA200" s="125">
        <v>31.256690216227788</v>
      </c>
      <c r="DB200" s="273">
        <v>18751.505419510238</v>
      </c>
      <c r="DC200" s="124"/>
      <c r="DD200" s="117">
        <v>22119</v>
      </c>
      <c r="DE200" s="117">
        <v>42211</v>
      </c>
      <c r="DF200" s="117">
        <v>0</v>
      </c>
      <c r="DG200" s="117">
        <v>-20092</v>
      </c>
      <c r="DH200" s="117">
        <v>8457</v>
      </c>
      <c r="DI200" s="117">
        <v>15082</v>
      </c>
      <c r="DJ200" s="136"/>
      <c r="DL200" s="160">
        <v>-91</v>
      </c>
      <c r="DM200" s="160">
        <v>-107</v>
      </c>
      <c r="DN200" s="161">
        <v>3249</v>
      </c>
      <c r="DO200" s="116">
        <v>1865</v>
      </c>
      <c r="DP200" s="160">
        <v>0</v>
      </c>
      <c r="DR200" s="161">
        <v>1384</v>
      </c>
      <c r="DS200" s="117">
        <v>-5</v>
      </c>
      <c r="DT200" s="116">
        <v>0</v>
      </c>
      <c r="DU200" s="116">
        <v>0</v>
      </c>
      <c r="DV200" s="116">
        <v>-5</v>
      </c>
      <c r="DW200" s="160">
        <v>1374</v>
      </c>
      <c r="DX200" s="160">
        <v>3006</v>
      </c>
      <c r="DY200" s="116">
        <v>3180</v>
      </c>
      <c r="DZ200" s="150"/>
      <c r="EA200" s="117">
        <v>-185</v>
      </c>
      <c r="EB200" s="116">
        <v>-1657</v>
      </c>
      <c r="EC200" s="159">
        <v>806</v>
      </c>
      <c r="EE200" s="125"/>
      <c r="EF200" s="161"/>
      <c r="EG200" s="124"/>
      <c r="EH200" s="253">
        <v>21.5</v>
      </c>
      <c r="EI200" s="130"/>
      <c r="EJ200" s="125">
        <v>51</v>
      </c>
      <c r="EK200" s="116"/>
      <c r="EL200" s="159"/>
      <c r="EN200" s="116"/>
      <c r="EO200" s="116"/>
      <c r="EP200" s="159"/>
      <c r="EQ200" s="159">
        <v>-3157</v>
      </c>
      <c r="ER200" s="116">
        <v>147</v>
      </c>
      <c r="ES200" s="116">
        <v>206</v>
      </c>
      <c r="ET200" s="160">
        <v>-4748</v>
      </c>
      <c r="EU200" s="116">
        <v>99</v>
      </c>
      <c r="EV200" s="116">
        <v>1537</v>
      </c>
      <c r="EW200" s="160">
        <v>-2612</v>
      </c>
      <c r="EX200" s="160">
        <v>221</v>
      </c>
      <c r="EY200" s="160">
        <v>17</v>
      </c>
      <c r="EZ200" s="116">
        <v>2222</v>
      </c>
      <c r="FA200" s="116">
        <v>1600</v>
      </c>
      <c r="FB200" s="116">
        <v>2207</v>
      </c>
      <c r="FC200" s="160">
        <v>-753</v>
      </c>
      <c r="FD200" s="116">
        <v>2864</v>
      </c>
      <c r="FE200" s="116">
        <v>-674</v>
      </c>
      <c r="FF200" s="3">
        <v>12805</v>
      </c>
      <c r="FG200" s="3">
        <v>10245</v>
      </c>
      <c r="FH200" s="3">
        <v>2560</v>
      </c>
      <c r="FI200" s="3">
        <v>16</v>
      </c>
      <c r="FJ200" s="125">
        <v>14200</v>
      </c>
      <c r="FK200" s="160">
        <v>11847</v>
      </c>
      <c r="FL200" s="125">
        <v>2353</v>
      </c>
      <c r="FM200" s="116">
        <v>0</v>
      </c>
      <c r="FN200" s="125">
        <v>14545</v>
      </c>
      <c r="FO200" s="116">
        <v>13776</v>
      </c>
      <c r="FP200" s="116">
        <v>769</v>
      </c>
      <c r="FQ200" s="116">
        <v>-185</v>
      </c>
      <c r="FR200" s="153">
        <v>450</v>
      </c>
      <c r="FS200" s="153">
        <v>330</v>
      </c>
      <c r="FT200" s="276">
        <v>2448</v>
      </c>
      <c r="FU200" s="3">
        <v>351</v>
      </c>
      <c r="FV200" s="159">
        <v>585</v>
      </c>
      <c r="FW200" s="170"/>
      <c r="FZ200" s="155"/>
      <c r="GA200" s="2"/>
      <c r="GD200" s="163"/>
      <c r="GE200" s="2"/>
      <c r="GF200" s="2"/>
    </row>
    <row r="201" spans="1:188" ht="14.5" x14ac:dyDescent="0.35">
      <c r="A201" s="72">
        <v>623</v>
      </c>
      <c r="B201" s="70" t="s">
        <v>192</v>
      </c>
      <c r="C201" s="158">
        <v>2197</v>
      </c>
      <c r="D201" s="171"/>
      <c r="E201" s="128">
        <v>3.831258644536653</v>
      </c>
      <c r="F201" s="128">
        <v>25.914159545064649</v>
      </c>
      <c r="G201" s="129">
        <v>-40.509786071916253</v>
      </c>
      <c r="H201" s="216"/>
      <c r="I201" s="172"/>
      <c r="J201" s="218"/>
      <c r="K201" s="128">
        <v>67.832274266580413</v>
      </c>
      <c r="L201" s="129">
        <v>2624.0327719617662</v>
      </c>
      <c r="M201" s="129">
        <v>67.655617002122042</v>
      </c>
      <c r="N201" s="129">
        <v>14156.577150659992</v>
      </c>
      <c r="O201" s="129"/>
      <c r="P201" s="117">
        <v>14185</v>
      </c>
      <c r="Q201" s="161">
        <v>28745</v>
      </c>
      <c r="R201" s="161">
        <v>4</v>
      </c>
      <c r="S201" s="161">
        <v>-14556</v>
      </c>
      <c r="T201" s="124">
        <v>9036</v>
      </c>
      <c r="U201" s="124">
        <v>8256</v>
      </c>
      <c r="V201" s="136"/>
      <c r="X201" s="116">
        <v>-39</v>
      </c>
      <c r="Y201" s="116">
        <v>29</v>
      </c>
      <c r="Z201" s="161">
        <v>2726</v>
      </c>
      <c r="AA201" s="116">
        <v>994</v>
      </c>
      <c r="AB201" s="116">
        <v>7</v>
      </c>
      <c r="AD201" s="161">
        <v>1739</v>
      </c>
      <c r="AE201" s="117">
        <v>0</v>
      </c>
      <c r="AF201" s="117">
        <v>0</v>
      </c>
      <c r="AG201" s="116">
        <v>0</v>
      </c>
      <c r="AH201" s="116">
        <v>0</v>
      </c>
      <c r="AI201" s="160">
        <v>1739</v>
      </c>
      <c r="AJ201" s="161">
        <v>6826</v>
      </c>
      <c r="AK201" s="161">
        <v>2680</v>
      </c>
      <c r="AL201" s="150"/>
      <c r="AM201" s="161">
        <v>318</v>
      </c>
      <c r="AN201" s="161">
        <v>-679</v>
      </c>
      <c r="AO201" s="160">
        <v>1124</v>
      </c>
      <c r="AQ201" s="160"/>
      <c r="AR201" s="117"/>
      <c r="AS201" s="117"/>
      <c r="AT201" s="99">
        <v>20</v>
      </c>
      <c r="AU201" s="130"/>
      <c r="AV201" s="262">
        <v>11</v>
      </c>
      <c r="AW201" s="267">
        <v>2151</v>
      </c>
      <c r="AX201" s="124"/>
      <c r="AY201" s="255">
        <v>3.9258675078864353</v>
      </c>
      <c r="AZ201" s="259">
        <v>25.448989773010727</v>
      </c>
      <c r="BA201" s="160">
        <v>423.98884239888423</v>
      </c>
      <c r="BB201" s="130"/>
      <c r="BC201" s="130"/>
      <c r="BD201" s="130"/>
      <c r="BE201" s="128">
        <v>69.28430872385394</v>
      </c>
      <c r="BF201" s="160">
        <v>3058.1125058112507</v>
      </c>
      <c r="BG201" s="129">
        <v>65.83708920187793</v>
      </c>
      <c r="BH201" s="131">
        <v>14853.556485355648</v>
      </c>
      <c r="BI201" s="124"/>
      <c r="BJ201" s="117">
        <v>14580</v>
      </c>
      <c r="BK201" s="117">
        <v>29698</v>
      </c>
      <c r="BL201" s="161">
        <v>8</v>
      </c>
      <c r="BM201" s="161">
        <v>-15110</v>
      </c>
      <c r="BN201" s="117">
        <v>9366</v>
      </c>
      <c r="BO201" s="117">
        <v>8126</v>
      </c>
      <c r="BP201" s="136"/>
      <c r="BR201" s="160">
        <v>-38</v>
      </c>
      <c r="BS201" s="160">
        <v>101</v>
      </c>
      <c r="BT201" s="161">
        <v>2445</v>
      </c>
      <c r="BU201" s="125">
        <v>1245</v>
      </c>
      <c r="BV201" s="160">
        <v>0</v>
      </c>
      <c r="BX201" s="161">
        <v>1200</v>
      </c>
      <c r="BY201" s="161">
        <v>5</v>
      </c>
      <c r="BZ201" s="160">
        <v>-506</v>
      </c>
      <c r="CA201" s="160">
        <v>0</v>
      </c>
      <c r="CB201" s="160">
        <v>0</v>
      </c>
      <c r="CC201" s="160">
        <v>699</v>
      </c>
      <c r="CD201" s="160">
        <v>7503</v>
      </c>
      <c r="CE201" s="116">
        <v>2456</v>
      </c>
      <c r="CF201" s="150"/>
      <c r="CG201" s="160">
        <v>-192</v>
      </c>
      <c r="CH201" s="160">
        <v>-590</v>
      </c>
      <c r="CI201" s="159">
        <v>975</v>
      </c>
      <c r="CK201" s="124"/>
      <c r="CL201" s="161"/>
      <c r="CM201" s="124"/>
      <c r="CN201" s="265">
        <v>20</v>
      </c>
      <c r="CO201" s="130"/>
      <c r="CP201" s="116">
        <v>12</v>
      </c>
      <c r="CQ201" s="267">
        <v>2137</v>
      </c>
      <c r="CR201" s="124"/>
      <c r="CS201" s="268">
        <v>5.80078125</v>
      </c>
      <c r="CT201" s="269">
        <v>26.209603797699472</v>
      </c>
      <c r="CU201" s="160">
        <v>1002.3397285914834</v>
      </c>
      <c r="CV201" s="130"/>
      <c r="CW201" s="130"/>
      <c r="CX201" s="130"/>
      <c r="CY201" s="269">
        <v>69.916378412868994</v>
      </c>
      <c r="CZ201" s="125">
        <v>3528.310715956949</v>
      </c>
      <c r="DA201" s="125">
        <v>85.251843132395763</v>
      </c>
      <c r="DB201" s="273">
        <v>15106.223678053346</v>
      </c>
      <c r="DC201" s="124"/>
      <c r="DD201" s="117">
        <v>14780</v>
      </c>
      <c r="DE201" s="117">
        <v>29996</v>
      </c>
      <c r="DF201" s="117">
        <v>5</v>
      </c>
      <c r="DG201" s="117">
        <v>-15211</v>
      </c>
      <c r="DH201" s="117">
        <v>9190</v>
      </c>
      <c r="DI201" s="117">
        <v>8892</v>
      </c>
      <c r="DJ201" s="136"/>
      <c r="DL201" s="160">
        <v>-30</v>
      </c>
      <c r="DM201" s="160">
        <v>92</v>
      </c>
      <c r="DN201" s="161">
        <v>2933</v>
      </c>
      <c r="DO201" s="116">
        <v>1122</v>
      </c>
      <c r="DP201" s="160">
        <v>0</v>
      </c>
      <c r="DR201" s="161">
        <v>1811</v>
      </c>
      <c r="DS201" s="117">
        <v>2</v>
      </c>
      <c r="DT201" s="116">
        <v>-27</v>
      </c>
      <c r="DU201" s="116">
        <v>0</v>
      </c>
      <c r="DV201" s="116">
        <v>0</v>
      </c>
      <c r="DW201" s="160">
        <v>1786</v>
      </c>
      <c r="DX201" s="160">
        <v>9306</v>
      </c>
      <c r="DY201" s="116">
        <v>2915</v>
      </c>
      <c r="DZ201" s="150"/>
      <c r="EA201" s="116">
        <v>-724</v>
      </c>
      <c r="EB201" s="116">
        <v>-475</v>
      </c>
      <c r="EC201" s="159">
        <v>1270</v>
      </c>
      <c r="EE201" s="125"/>
      <c r="EF201" s="161"/>
      <c r="EG201" s="124"/>
      <c r="EH201" s="253">
        <v>19.5</v>
      </c>
      <c r="EI201" s="130"/>
      <c r="EJ201" s="125">
        <v>40</v>
      </c>
      <c r="EK201" s="116"/>
      <c r="EL201" s="159"/>
      <c r="EN201" s="116"/>
      <c r="EO201" s="116"/>
      <c r="EP201" s="159"/>
      <c r="EQ201" s="159">
        <v>-1610</v>
      </c>
      <c r="ER201" s="116">
        <v>49</v>
      </c>
      <c r="ES201" s="116">
        <v>5</v>
      </c>
      <c r="ET201" s="160">
        <v>-1614</v>
      </c>
      <c r="EU201" s="116">
        <v>47</v>
      </c>
      <c r="EV201" s="116">
        <v>86</v>
      </c>
      <c r="EW201" s="160">
        <v>-1764</v>
      </c>
      <c r="EX201" s="160">
        <v>99</v>
      </c>
      <c r="EY201" s="160">
        <v>20</v>
      </c>
      <c r="EZ201" s="116">
        <v>899</v>
      </c>
      <c r="FA201" s="116">
        <v>-358</v>
      </c>
      <c r="FB201" s="116">
        <v>873</v>
      </c>
      <c r="FC201" s="160">
        <v>-138</v>
      </c>
      <c r="FD201" s="116">
        <v>446</v>
      </c>
      <c r="FE201" s="116">
        <v>373</v>
      </c>
      <c r="FF201" s="3">
        <v>5250</v>
      </c>
      <c r="FG201" s="3">
        <v>4052</v>
      </c>
      <c r="FH201" s="3">
        <v>1198</v>
      </c>
      <c r="FI201" s="3">
        <v>13</v>
      </c>
      <c r="FJ201" s="125">
        <v>5388</v>
      </c>
      <c r="FK201" s="160">
        <v>4466</v>
      </c>
      <c r="FL201" s="125">
        <v>922</v>
      </c>
      <c r="FM201" s="116">
        <v>13</v>
      </c>
      <c r="FN201" s="125">
        <v>4988</v>
      </c>
      <c r="FO201" s="116">
        <v>4551</v>
      </c>
      <c r="FP201" s="116">
        <v>437</v>
      </c>
      <c r="FQ201" s="116">
        <v>-724</v>
      </c>
      <c r="FR201" s="153">
        <v>218</v>
      </c>
      <c r="FS201" s="153">
        <v>203</v>
      </c>
      <c r="FT201" s="276">
        <v>189</v>
      </c>
      <c r="FU201" s="3">
        <v>441</v>
      </c>
      <c r="FV201" s="159">
        <v>587</v>
      </c>
      <c r="FW201" s="170"/>
      <c r="FZ201" s="155"/>
      <c r="GA201" s="2"/>
      <c r="GD201" s="163"/>
      <c r="GE201" s="2"/>
      <c r="GF201" s="2"/>
    </row>
    <row r="202" spans="1:188" ht="14.5" x14ac:dyDescent="0.35">
      <c r="A202" s="72">
        <v>624</v>
      </c>
      <c r="B202" s="70" t="s">
        <v>193</v>
      </c>
      <c r="C202" s="158">
        <v>5187</v>
      </c>
      <c r="D202" s="171"/>
      <c r="E202" s="128">
        <v>0.90470588235294114</v>
      </c>
      <c r="F202" s="128">
        <v>51.520732859947167</v>
      </c>
      <c r="G202" s="129">
        <v>-3119.5295932138038</v>
      </c>
      <c r="H202" s="216"/>
      <c r="I202" s="172"/>
      <c r="J202" s="218"/>
      <c r="K202" s="128">
        <v>33.74673829623945</v>
      </c>
      <c r="L202" s="129">
        <v>553.69192211297479</v>
      </c>
      <c r="M202" s="129">
        <v>23.59290601368383</v>
      </c>
      <c r="N202" s="129">
        <v>8566.0304607673024</v>
      </c>
      <c r="O202" s="129"/>
      <c r="P202" s="117">
        <v>11706</v>
      </c>
      <c r="Q202" s="161">
        <v>40535</v>
      </c>
      <c r="R202" s="161">
        <v>3</v>
      </c>
      <c r="S202" s="161">
        <v>-28826</v>
      </c>
      <c r="T202" s="124">
        <v>20590</v>
      </c>
      <c r="U202" s="124">
        <v>8967</v>
      </c>
      <c r="V202" s="136"/>
      <c r="X202" s="116">
        <v>-9</v>
      </c>
      <c r="Y202" s="116">
        <v>18</v>
      </c>
      <c r="Z202" s="161">
        <v>740</v>
      </c>
      <c r="AA202" s="116">
        <v>1763</v>
      </c>
      <c r="AB202" s="116">
        <v>0</v>
      </c>
      <c r="AD202" s="161">
        <v>-1023</v>
      </c>
      <c r="AE202" s="116">
        <v>0</v>
      </c>
      <c r="AF202" s="116">
        <v>0</v>
      </c>
      <c r="AG202" s="116">
        <v>0</v>
      </c>
      <c r="AH202" s="116">
        <v>0</v>
      </c>
      <c r="AI202" s="160">
        <v>-1023</v>
      </c>
      <c r="AJ202" s="161">
        <v>2574</v>
      </c>
      <c r="AK202" s="161">
        <v>502</v>
      </c>
      <c r="AL202" s="150"/>
      <c r="AM202" s="161">
        <v>297</v>
      </c>
      <c r="AN202" s="161">
        <v>-821</v>
      </c>
      <c r="AO202" s="160">
        <v>-2138</v>
      </c>
      <c r="AQ202" s="160"/>
      <c r="AR202" s="117"/>
      <c r="AS202" s="117"/>
      <c r="AT202" s="99">
        <v>20.25</v>
      </c>
      <c r="AU202" s="130"/>
      <c r="AV202" s="262">
        <v>264</v>
      </c>
      <c r="AW202" s="267">
        <v>5140</v>
      </c>
      <c r="AX202" s="124"/>
      <c r="AY202" s="255">
        <v>0.90608875128998967</v>
      </c>
      <c r="AZ202" s="259">
        <v>47.774342546375621</v>
      </c>
      <c r="BA202" s="160">
        <v>-3595.5252918287938</v>
      </c>
      <c r="BB202" s="130"/>
      <c r="BC202" s="130"/>
      <c r="BD202" s="130"/>
      <c r="BE202" s="128">
        <v>28.218714456126722</v>
      </c>
      <c r="BF202" s="160">
        <v>969.4552529182879</v>
      </c>
      <c r="BG202" s="129">
        <v>18.393781474267868</v>
      </c>
      <c r="BH202" s="131">
        <v>11087.743190661478</v>
      </c>
      <c r="BI202" s="124"/>
      <c r="BJ202" s="117">
        <v>23878</v>
      </c>
      <c r="BK202" s="117">
        <v>52865</v>
      </c>
      <c r="BL202" s="161">
        <v>-11</v>
      </c>
      <c r="BM202" s="161">
        <v>-28998</v>
      </c>
      <c r="BN202" s="117">
        <v>20924</v>
      </c>
      <c r="BO202" s="117">
        <v>8890</v>
      </c>
      <c r="BP202" s="136"/>
      <c r="BR202" s="160">
        <v>-7</v>
      </c>
      <c r="BS202" s="160">
        <v>42</v>
      </c>
      <c r="BT202" s="161">
        <v>851</v>
      </c>
      <c r="BU202" s="125">
        <v>1674</v>
      </c>
      <c r="BV202" s="160">
        <v>0</v>
      </c>
      <c r="BW202" s="117"/>
      <c r="BX202" s="161">
        <v>-823</v>
      </c>
      <c r="BY202" s="160">
        <v>0</v>
      </c>
      <c r="BZ202" s="160">
        <v>0</v>
      </c>
      <c r="CA202" s="160">
        <v>0</v>
      </c>
      <c r="CB202" s="160">
        <v>0</v>
      </c>
      <c r="CC202" s="160">
        <v>-823</v>
      </c>
      <c r="CD202" s="160">
        <v>1751</v>
      </c>
      <c r="CE202" s="116">
        <v>453</v>
      </c>
      <c r="CF202" s="150"/>
      <c r="CG202" s="161">
        <v>19</v>
      </c>
      <c r="CH202" s="160">
        <v>-942</v>
      </c>
      <c r="CI202" s="159">
        <v>-2376</v>
      </c>
      <c r="CK202" s="124"/>
      <c r="CL202" s="161"/>
      <c r="CM202" s="124"/>
      <c r="CN202" s="265">
        <v>20.25</v>
      </c>
      <c r="CO202" s="130"/>
      <c r="CP202" s="116">
        <v>244</v>
      </c>
      <c r="CQ202" s="267">
        <v>5125</v>
      </c>
      <c r="CR202" s="124"/>
      <c r="CS202" s="268">
        <v>2.4792418772563178</v>
      </c>
      <c r="CT202" s="269">
        <v>42.189750254662968</v>
      </c>
      <c r="CU202" s="160">
        <v>-3669.268292682927</v>
      </c>
      <c r="CV202" s="130"/>
      <c r="CW202" s="130"/>
      <c r="CX202" s="130"/>
      <c r="CY202" s="269">
        <v>31.249823071479124</v>
      </c>
      <c r="CZ202" s="125">
        <v>572.09756097560967</v>
      </c>
      <c r="DA202" s="125">
        <v>18.249688784297675</v>
      </c>
      <c r="DB202" s="273">
        <v>11442.146341463415</v>
      </c>
      <c r="DC202" s="124"/>
      <c r="DD202" s="117">
        <v>23748</v>
      </c>
      <c r="DE202" s="117">
        <v>54244</v>
      </c>
      <c r="DF202" s="117">
        <v>-1</v>
      </c>
      <c r="DG202" s="117">
        <v>-30497</v>
      </c>
      <c r="DH202" s="117">
        <v>22354</v>
      </c>
      <c r="DI202" s="117">
        <v>10836</v>
      </c>
      <c r="DJ202" s="136"/>
      <c r="DL202" s="160">
        <v>-30</v>
      </c>
      <c r="DM202" s="160">
        <v>34</v>
      </c>
      <c r="DN202" s="161">
        <v>2697</v>
      </c>
      <c r="DO202" s="116">
        <v>1827</v>
      </c>
      <c r="DP202" s="160">
        <v>0</v>
      </c>
      <c r="DQ202" s="117"/>
      <c r="DR202" s="161">
        <v>870</v>
      </c>
      <c r="DS202" s="116">
        <v>1</v>
      </c>
      <c r="DT202" s="116">
        <v>0</v>
      </c>
      <c r="DU202" s="116">
        <v>0</v>
      </c>
      <c r="DV202" s="116">
        <v>0</v>
      </c>
      <c r="DW202" s="160">
        <v>871</v>
      </c>
      <c r="DX202" s="160">
        <v>2622</v>
      </c>
      <c r="DY202" s="116">
        <v>2738</v>
      </c>
      <c r="DZ202" s="150"/>
      <c r="EA202" s="117">
        <v>-98</v>
      </c>
      <c r="EB202" s="116">
        <v>-1058</v>
      </c>
      <c r="EC202" s="159">
        <v>-368</v>
      </c>
      <c r="EE202" s="125"/>
      <c r="EF202" s="161"/>
      <c r="EG202" s="124"/>
      <c r="EH202" s="253">
        <v>20.75</v>
      </c>
      <c r="EI202" s="130"/>
      <c r="EJ202" s="125">
        <v>280</v>
      </c>
      <c r="EK202" s="116"/>
      <c r="EL202" s="159"/>
      <c r="EN202" s="116"/>
      <c r="EO202" s="116"/>
      <c r="EP202" s="159"/>
      <c r="EQ202" s="159">
        <v>-3034</v>
      </c>
      <c r="ER202" s="116">
        <v>141</v>
      </c>
      <c r="ES202" s="116">
        <v>253</v>
      </c>
      <c r="ET202" s="160">
        <v>-3156</v>
      </c>
      <c r="EU202" s="116">
        <v>51</v>
      </c>
      <c r="EV202" s="116">
        <v>276</v>
      </c>
      <c r="EW202" s="160">
        <v>-3254</v>
      </c>
      <c r="EX202" s="160">
        <v>0</v>
      </c>
      <c r="EY202" s="160">
        <v>148</v>
      </c>
      <c r="EZ202" s="116">
        <v>26</v>
      </c>
      <c r="FA202" s="116">
        <v>2520</v>
      </c>
      <c r="FB202" s="116">
        <v>1961</v>
      </c>
      <c r="FC202" s="160">
        <v>2993</v>
      </c>
      <c r="FD202" s="116">
        <v>5700</v>
      </c>
      <c r="FE202" s="116">
        <v>-6498</v>
      </c>
      <c r="FF202" s="3">
        <v>16103</v>
      </c>
      <c r="FG202" s="3">
        <v>5655</v>
      </c>
      <c r="FH202" s="3">
        <v>10448</v>
      </c>
      <c r="FI202" s="3">
        <v>1172</v>
      </c>
      <c r="FJ202" s="125">
        <v>20115</v>
      </c>
      <c r="FK202" s="160">
        <v>6807</v>
      </c>
      <c r="FL202" s="125">
        <v>13308</v>
      </c>
      <c r="FM202" s="116">
        <v>1172</v>
      </c>
      <c r="FN202" s="125">
        <v>18260</v>
      </c>
      <c r="FO202" s="116">
        <v>11003</v>
      </c>
      <c r="FP202" s="116">
        <v>7257</v>
      </c>
      <c r="FQ202" s="116">
        <v>-98</v>
      </c>
      <c r="FR202" s="153">
        <v>2241</v>
      </c>
      <c r="FS202" s="153">
        <v>1905</v>
      </c>
      <c r="FT202" s="276">
        <v>2376</v>
      </c>
      <c r="FU202" s="3">
        <v>1465</v>
      </c>
      <c r="FV202" s="159">
        <v>2187</v>
      </c>
      <c r="FW202" s="170"/>
      <c r="FZ202" s="155"/>
      <c r="GA202" s="2"/>
      <c r="GD202" s="163"/>
      <c r="GE202" s="2"/>
      <c r="GF202" s="2"/>
    </row>
    <row r="203" spans="1:188" ht="14.5" x14ac:dyDescent="0.35">
      <c r="A203" s="72">
        <v>625</v>
      </c>
      <c r="B203" s="70" t="s">
        <v>194</v>
      </c>
      <c r="C203" s="158">
        <v>3146</v>
      </c>
      <c r="D203" s="171"/>
      <c r="E203" s="128">
        <v>1.1948051948051948</v>
      </c>
      <c r="F203" s="128">
        <v>67.453303396550893</v>
      </c>
      <c r="G203" s="129">
        <v>-5093.1341385886835</v>
      </c>
      <c r="H203" s="216"/>
      <c r="I203" s="172"/>
      <c r="J203" s="218"/>
      <c r="K203" s="128">
        <v>41.003594477575362</v>
      </c>
      <c r="L203" s="129">
        <v>2602.0343293070564</v>
      </c>
      <c r="M203" s="129">
        <v>64.77669860816026</v>
      </c>
      <c r="N203" s="129">
        <v>14661.792752701844</v>
      </c>
      <c r="O203" s="129"/>
      <c r="P203" s="117">
        <v>20177</v>
      </c>
      <c r="Q203" s="161">
        <v>40155</v>
      </c>
      <c r="R203" s="161">
        <v>14</v>
      </c>
      <c r="S203" s="161">
        <v>-19964</v>
      </c>
      <c r="T203" s="124">
        <v>10932</v>
      </c>
      <c r="U203" s="124">
        <v>10757</v>
      </c>
      <c r="V203" s="136"/>
      <c r="X203" s="116">
        <v>40</v>
      </c>
      <c r="Y203" s="116">
        <v>-137</v>
      </c>
      <c r="Z203" s="161">
        <v>1628</v>
      </c>
      <c r="AA203" s="116">
        <v>3615</v>
      </c>
      <c r="AB203" s="116">
        <v>147</v>
      </c>
      <c r="AD203" s="161">
        <v>-1840</v>
      </c>
      <c r="AE203" s="116">
        <v>2</v>
      </c>
      <c r="AF203" s="116">
        <v>-3</v>
      </c>
      <c r="AG203" s="116">
        <v>1</v>
      </c>
      <c r="AH203" s="116">
        <v>-15</v>
      </c>
      <c r="AI203" s="160">
        <v>-1855</v>
      </c>
      <c r="AJ203" s="161">
        <v>13552</v>
      </c>
      <c r="AK203" s="161">
        <v>1622</v>
      </c>
      <c r="AL203" s="150"/>
      <c r="AM203" s="161">
        <v>233</v>
      </c>
      <c r="AN203" s="161">
        <v>-1358</v>
      </c>
      <c r="AO203" s="160">
        <v>-1560</v>
      </c>
      <c r="AQ203" s="160"/>
      <c r="AR203" s="117"/>
      <c r="AS203" s="117"/>
      <c r="AT203" s="99">
        <v>20.25</v>
      </c>
      <c r="AU203" s="130"/>
      <c r="AV203" s="262">
        <v>135</v>
      </c>
      <c r="AW203" s="267">
        <v>3077</v>
      </c>
      <c r="AX203" s="124"/>
      <c r="AY203" s="255">
        <v>1.6030640668523677</v>
      </c>
      <c r="AZ203" s="259">
        <v>69.827826248375715</v>
      </c>
      <c r="BA203" s="160">
        <v>-5748.7812804679888</v>
      </c>
      <c r="BB203" s="130"/>
      <c r="BC203" s="130"/>
      <c r="BD203" s="130"/>
      <c r="BE203" s="128">
        <v>38.730678595678398</v>
      </c>
      <c r="BF203" s="160">
        <v>2907.7023074423137</v>
      </c>
      <c r="BG203" s="129">
        <v>64.65292421569049</v>
      </c>
      <c r="BH203" s="131">
        <v>15103.672408189794</v>
      </c>
      <c r="BI203" s="124"/>
      <c r="BJ203" s="117">
        <v>20992</v>
      </c>
      <c r="BK203" s="117">
        <v>42368</v>
      </c>
      <c r="BL203" s="161">
        <v>1</v>
      </c>
      <c r="BM203" s="161">
        <v>-21375</v>
      </c>
      <c r="BN203" s="117">
        <v>11215</v>
      </c>
      <c r="BO203" s="117">
        <v>10889</v>
      </c>
      <c r="BP203" s="136"/>
      <c r="BR203" s="160">
        <v>49</v>
      </c>
      <c r="BS203" s="160">
        <v>365</v>
      </c>
      <c r="BT203" s="161">
        <v>1143</v>
      </c>
      <c r="BU203" s="125">
        <v>2024</v>
      </c>
      <c r="BV203" s="160">
        <v>70</v>
      </c>
      <c r="BX203" s="161">
        <v>-811</v>
      </c>
      <c r="BY203" s="160">
        <v>0</v>
      </c>
      <c r="BZ203" s="160">
        <v>-1</v>
      </c>
      <c r="CA203" s="160">
        <v>-1</v>
      </c>
      <c r="CB203" s="160">
        <v>-8</v>
      </c>
      <c r="CC203" s="160">
        <v>-819</v>
      </c>
      <c r="CD203" s="160">
        <v>12835</v>
      </c>
      <c r="CE203" s="116">
        <v>1196</v>
      </c>
      <c r="CF203" s="150"/>
      <c r="CG203" s="161">
        <v>132</v>
      </c>
      <c r="CH203" s="160">
        <v>-710</v>
      </c>
      <c r="CI203" s="159">
        <v>-1666</v>
      </c>
      <c r="CK203" s="124"/>
      <c r="CL203" s="161"/>
      <c r="CM203" s="124"/>
      <c r="CN203" s="265">
        <v>20.75</v>
      </c>
      <c r="CO203" s="130"/>
      <c r="CP203" s="116">
        <v>173</v>
      </c>
      <c r="CQ203" s="267">
        <v>3051</v>
      </c>
      <c r="CR203" s="124"/>
      <c r="CS203" s="268">
        <v>6.3855755894590844</v>
      </c>
      <c r="CT203" s="269">
        <v>68.762406144817461</v>
      </c>
      <c r="CU203" s="160">
        <v>-6380.2032120616186</v>
      </c>
      <c r="CV203" s="130"/>
      <c r="CW203" s="130"/>
      <c r="CX203" s="130"/>
      <c r="CY203" s="269">
        <v>39.643275615154273</v>
      </c>
      <c r="CZ203" s="125">
        <v>3109.1445427728613</v>
      </c>
      <c r="DA203" s="125">
        <v>71.625775755068275</v>
      </c>
      <c r="DB203" s="273">
        <v>15843.985578498852</v>
      </c>
      <c r="DC203" s="124"/>
      <c r="DD203" s="117">
        <v>21986</v>
      </c>
      <c r="DE203" s="117">
        <v>41910</v>
      </c>
      <c r="DF203" s="117">
        <v>16</v>
      </c>
      <c r="DG203" s="117">
        <v>-19908</v>
      </c>
      <c r="DH203" s="117">
        <v>11805</v>
      </c>
      <c r="DI203" s="117">
        <v>12557</v>
      </c>
      <c r="DJ203" s="136"/>
      <c r="DL203" s="160">
        <v>-3</v>
      </c>
      <c r="DM203" s="160">
        <v>137</v>
      </c>
      <c r="DN203" s="161">
        <v>4588</v>
      </c>
      <c r="DO203" s="116">
        <v>2230</v>
      </c>
      <c r="DP203" s="160">
        <v>0</v>
      </c>
      <c r="DR203" s="161">
        <v>2358</v>
      </c>
      <c r="DS203" s="116">
        <v>-1</v>
      </c>
      <c r="DT203" s="116">
        <v>-7</v>
      </c>
      <c r="DU203" s="116">
        <v>-1</v>
      </c>
      <c r="DV203" s="116">
        <v>-304</v>
      </c>
      <c r="DW203" s="160">
        <v>2047</v>
      </c>
      <c r="DX203" s="160">
        <v>14746</v>
      </c>
      <c r="DY203" s="116">
        <v>4522</v>
      </c>
      <c r="DZ203" s="150"/>
      <c r="EA203" s="117">
        <v>444</v>
      </c>
      <c r="EB203" s="116">
        <v>-705</v>
      </c>
      <c r="EC203" s="159">
        <v>-652</v>
      </c>
      <c r="EE203" s="125"/>
      <c r="EF203" s="161"/>
      <c r="EG203" s="124"/>
      <c r="EH203" s="253">
        <v>20.75</v>
      </c>
      <c r="EI203" s="130"/>
      <c r="EJ203" s="125">
        <v>22</v>
      </c>
      <c r="EK203" s="116"/>
      <c r="EL203" s="159"/>
      <c r="EN203" s="116"/>
      <c r="EO203" s="116"/>
      <c r="EP203" s="159"/>
      <c r="EQ203" s="159">
        <v>-4350</v>
      </c>
      <c r="ER203" s="116">
        <v>845</v>
      </c>
      <c r="ES203" s="116">
        <v>323</v>
      </c>
      <c r="ET203" s="160">
        <v>-3316</v>
      </c>
      <c r="EU203" s="116">
        <v>305</v>
      </c>
      <c r="EV203" s="116">
        <v>149</v>
      </c>
      <c r="EW203" s="160">
        <v>-5692</v>
      </c>
      <c r="EX203" s="160">
        <v>441</v>
      </c>
      <c r="EY203" s="160">
        <v>77</v>
      </c>
      <c r="EZ203" s="116">
        <v>747</v>
      </c>
      <c r="FA203" s="116">
        <v>1026</v>
      </c>
      <c r="FB203" s="116">
        <v>935</v>
      </c>
      <c r="FC203" s="160">
        <v>1973</v>
      </c>
      <c r="FD203" s="116">
        <v>3032</v>
      </c>
      <c r="FE203" s="116">
        <v>-1226</v>
      </c>
      <c r="FF203" s="3">
        <v>18775</v>
      </c>
      <c r="FG203" s="3">
        <v>2879</v>
      </c>
      <c r="FH203" s="3">
        <v>15896</v>
      </c>
      <c r="FI203" s="3">
        <v>42</v>
      </c>
      <c r="FJ203" s="125">
        <v>20980</v>
      </c>
      <c r="FK203" s="160">
        <v>3369</v>
      </c>
      <c r="FL203" s="125">
        <v>17611</v>
      </c>
      <c r="FM203" s="116">
        <v>356</v>
      </c>
      <c r="FN203" s="125">
        <v>21928</v>
      </c>
      <c r="FO203" s="116">
        <v>5574</v>
      </c>
      <c r="FP203" s="116">
        <v>16354</v>
      </c>
      <c r="FQ203" s="116">
        <v>444</v>
      </c>
      <c r="FR203" s="153">
        <v>124</v>
      </c>
      <c r="FS203" s="153">
        <v>109</v>
      </c>
      <c r="FT203" s="276">
        <v>131</v>
      </c>
      <c r="FU203" s="3">
        <v>525</v>
      </c>
      <c r="FV203" s="159">
        <v>1851</v>
      </c>
      <c r="FW203" s="170"/>
      <c r="FZ203" s="155"/>
      <c r="GA203" s="2"/>
      <c r="GD203" s="163"/>
      <c r="GE203" s="2"/>
      <c r="GF203" s="2"/>
    </row>
    <row r="204" spans="1:188" ht="14.5" x14ac:dyDescent="0.35">
      <c r="A204" s="72">
        <v>626</v>
      </c>
      <c r="B204" s="70" t="s">
        <v>195</v>
      </c>
      <c r="C204" s="158">
        <v>5248</v>
      </c>
      <c r="D204" s="171"/>
      <c r="E204" s="128">
        <v>0.39602169981916818</v>
      </c>
      <c r="F204" s="128">
        <v>69.16817713562925</v>
      </c>
      <c r="G204" s="129">
        <v>-6427.9725609756097</v>
      </c>
      <c r="H204" s="216"/>
      <c r="I204" s="172"/>
      <c r="J204" s="218"/>
      <c r="K204" s="128">
        <v>31.791547505560853</v>
      </c>
      <c r="L204" s="129">
        <v>2631.0975609756097</v>
      </c>
      <c r="M204" s="129">
        <v>57.345454959208986</v>
      </c>
      <c r="N204" s="129">
        <v>16746.760670731706</v>
      </c>
      <c r="O204" s="129"/>
      <c r="P204" s="117">
        <v>38864</v>
      </c>
      <c r="Q204" s="161">
        <v>75714</v>
      </c>
      <c r="R204" s="161">
        <v>-63</v>
      </c>
      <c r="S204" s="161">
        <v>-36913</v>
      </c>
      <c r="T204" s="124">
        <v>20384</v>
      </c>
      <c r="U204" s="124">
        <v>17439</v>
      </c>
      <c r="V204" s="136"/>
      <c r="X204" s="116">
        <v>-301</v>
      </c>
      <c r="Y204" s="116">
        <v>606</v>
      </c>
      <c r="Z204" s="161">
        <v>1215</v>
      </c>
      <c r="AA204" s="116">
        <v>3950</v>
      </c>
      <c r="AB204" s="116">
        <v>405</v>
      </c>
      <c r="AD204" s="161">
        <v>-2330</v>
      </c>
      <c r="AE204" s="116">
        <v>286</v>
      </c>
      <c r="AF204" s="116">
        <v>-11</v>
      </c>
      <c r="AG204" s="116">
        <v>-27</v>
      </c>
      <c r="AH204" s="116">
        <v>-7</v>
      </c>
      <c r="AI204" s="160">
        <v>-2089</v>
      </c>
      <c r="AJ204" s="161">
        <v>3293</v>
      </c>
      <c r="AK204" s="161">
        <v>250</v>
      </c>
      <c r="AL204" s="150"/>
      <c r="AM204" s="161">
        <v>803</v>
      </c>
      <c r="AN204" s="161">
        <v>-3553</v>
      </c>
      <c r="AO204" s="160">
        <v>-4275</v>
      </c>
      <c r="AQ204" s="160"/>
      <c r="AR204" s="117"/>
      <c r="AS204" s="117"/>
      <c r="AT204" s="99">
        <v>20.75</v>
      </c>
      <c r="AU204" s="130"/>
      <c r="AV204" s="262">
        <v>242</v>
      </c>
      <c r="AW204" s="267">
        <v>5131</v>
      </c>
      <c r="AX204" s="124"/>
      <c r="AY204" s="255">
        <v>0.2442269076305221</v>
      </c>
      <c r="AZ204" s="259">
        <v>76.493056467067447</v>
      </c>
      <c r="BA204" s="160">
        <v>-7713.895926719938</v>
      </c>
      <c r="BB204" s="130"/>
      <c r="BC204" s="130"/>
      <c r="BD204" s="130"/>
      <c r="BE204" s="128">
        <v>26.125980732942697</v>
      </c>
      <c r="BF204" s="160">
        <v>2662.8337556031966</v>
      </c>
      <c r="BG204" s="129">
        <v>58.396616650252014</v>
      </c>
      <c r="BH204" s="131">
        <v>16820.307932176962</v>
      </c>
      <c r="BI204" s="124"/>
      <c r="BJ204" s="117">
        <v>38707</v>
      </c>
      <c r="BK204" s="117">
        <v>75900</v>
      </c>
      <c r="BL204" s="161">
        <v>0</v>
      </c>
      <c r="BM204" s="161">
        <v>-37193</v>
      </c>
      <c r="BN204" s="117">
        <v>19660</v>
      </c>
      <c r="BO204" s="117">
        <v>17819</v>
      </c>
      <c r="BP204" s="136"/>
      <c r="BR204" s="160">
        <v>-393</v>
      </c>
      <c r="BS204" s="160">
        <v>666</v>
      </c>
      <c r="BT204" s="161">
        <v>559</v>
      </c>
      <c r="BU204" s="125">
        <v>4578</v>
      </c>
      <c r="BV204" s="160">
        <v>0</v>
      </c>
      <c r="BX204" s="161">
        <v>-4019</v>
      </c>
      <c r="BY204" s="160">
        <v>132</v>
      </c>
      <c r="BZ204" s="160">
        <v>62</v>
      </c>
      <c r="CA204" s="160">
        <v>44</v>
      </c>
      <c r="CB204" s="160">
        <v>-1</v>
      </c>
      <c r="CC204" s="160">
        <v>-3870</v>
      </c>
      <c r="CD204" s="160">
        <v>20</v>
      </c>
      <c r="CE204" s="116">
        <v>203</v>
      </c>
      <c r="CF204" s="150"/>
      <c r="CG204" s="160">
        <v>254</v>
      </c>
      <c r="CH204" s="160">
        <v>-3570</v>
      </c>
      <c r="CI204" s="159">
        <v>-5863</v>
      </c>
      <c r="CK204" s="124"/>
      <c r="CL204" s="161"/>
      <c r="CM204" s="124"/>
      <c r="CN204" s="265">
        <v>20.75</v>
      </c>
      <c r="CO204" s="130"/>
      <c r="CP204" s="116">
        <v>257</v>
      </c>
      <c r="CQ204" s="267">
        <v>5033</v>
      </c>
      <c r="CR204" s="124"/>
      <c r="CS204" s="268">
        <v>2.0282077743378051</v>
      </c>
      <c r="CT204" s="269">
        <v>72.064985837020387</v>
      </c>
      <c r="CU204" s="160">
        <v>-8098.1521955096359</v>
      </c>
      <c r="CV204" s="130"/>
      <c r="CW204" s="130"/>
      <c r="CX204" s="130"/>
      <c r="CY204" s="269">
        <v>26.529369753310462</v>
      </c>
      <c r="CZ204" s="125">
        <v>3121.3987681303397</v>
      </c>
      <c r="DA204" s="125">
        <v>63.950103718243263</v>
      </c>
      <c r="DB204" s="273">
        <v>17815.616928273397</v>
      </c>
      <c r="DC204" s="124"/>
      <c r="DD204" s="117">
        <v>43016</v>
      </c>
      <c r="DE204" s="117">
        <v>79498</v>
      </c>
      <c r="DF204" s="117">
        <v>6</v>
      </c>
      <c r="DG204" s="117">
        <v>-36476</v>
      </c>
      <c r="DH204" s="117">
        <v>21645</v>
      </c>
      <c r="DI204" s="117">
        <v>20773</v>
      </c>
      <c r="DJ204" s="136"/>
      <c r="DL204" s="160">
        <v>-418</v>
      </c>
      <c r="DM204" s="160">
        <v>-58</v>
      </c>
      <c r="DN204" s="161">
        <v>5466</v>
      </c>
      <c r="DO204" s="116">
        <v>4092</v>
      </c>
      <c r="DP204" s="160">
        <v>-198</v>
      </c>
      <c r="DR204" s="161">
        <v>1176</v>
      </c>
      <c r="DS204" s="116">
        <v>74</v>
      </c>
      <c r="DT204" s="116">
        <v>-21</v>
      </c>
      <c r="DU204" s="116">
        <v>29</v>
      </c>
      <c r="DV204" s="116">
        <v>-4</v>
      </c>
      <c r="DW204" s="160">
        <v>1196</v>
      </c>
      <c r="DX204" s="160">
        <v>1681</v>
      </c>
      <c r="DY204" s="116">
        <v>5223</v>
      </c>
      <c r="DZ204" s="150"/>
      <c r="EA204" s="116">
        <v>366</v>
      </c>
      <c r="EB204" s="116">
        <v>-2477</v>
      </c>
      <c r="EC204" s="159">
        <v>-1016</v>
      </c>
      <c r="EE204" s="125"/>
      <c r="EF204" s="161"/>
      <c r="EG204" s="124"/>
      <c r="EH204" s="253">
        <v>21.75</v>
      </c>
      <c r="EI204" s="130"/>
      <c r="EJ204" s="125">
        <v>107</v>
      </c>
      <c r="EK204" s="116"/>
      <c r="EL204" s="159"/>
      <c r="EN204" s="116"/>
      <c r="EO204" s="116"/>
      <c r="EP204" s="159"/>
      <c r="EQ204" s="159">
        <v>-7755</v>
      </c>
      <c r="ER204" s="116">
        <v>352</v>
      </c>
      <c r="ES204" s="116">
        <v>2878</v>
      </c>
      <c r="ET204" s="160">
        <v>-6160</v>
      </c>
      <c r="EU204" s="116">
        <v>7</v>
      </c>
      <c r="EV204" s="116">
        <v>87</v>
      </c>
      <c r="EW204" s="160">
        <v>-6855</v>
      </c>
      <c r="EX204" s="160">
        <v>343</v>
      </c>
      <c r="EY204" s="160">
        <v>273</v>
      </c>
      <c r="EZ204" s="116">
        <v>7578</v>
      </c>
      <c r="FA204" s="116">
        <v>494</v>
      </c>
      <c r="FB204" s="116">
        <v>6954</v>
      </c>
      <c r="FC204" s="160">
        <v>961</v>
      </c>
      <c r="FD204" s="116">
        <v>9306</v>
      </c>
      <c r="FE204" s="116">
        <v>-2756</v>
      </c>
      <c r="FF204" s="3">
        <v>42319</v>
      </c>
      <c r="FG204" s="3">
        <v>37305</v>
      </c>
      <c r="FH204" s="3">
        <v>5014</v>
      </c>
      <c r="FI204" s="3">
        <v>5</v>
      </c>
      <c r="FJ204" s="125">
        <v>46782</v>
      </c>
      <c r="FK204" s="160">
        <v>40938</v>
      </c>
      <c r="FL204" s="125">
        <v>5844</v>
      </c>
      <c r="FM204" s="116">
        <v>5</v>
      </c>
      <c r="FN204" s="125">
        <v>50486</v>
      </c>
      <c r="FO204" s="116">
        <v>47265</v>
      </c>
      <c r="FP204" s="116">
        <v>3221</v>
      </c>
      <c r="FQ204" s="116">
        <v>366</v>
      </c>
      <c r="FR204" s="153">
        <v>1541</v>
      </c>
      <c r="FS204" s="153">
        <v>1426</v>
      </c>
      <c r="FT204" s="276">
        <v>1727</v>
      </c>
      <c r="FU204" s="3">
        <v>2877</v>
      </c>
      <c r="FV204" s="159">
        <v>1758</v>
      </c>
      <c r="FW204" s="170"/>
      <c r="FZ204" s="155"/>
      <c r="GA204" s="2"/>
      <c r="GD204" s="163"/>
      <c r="GE204" s="2"/>
      <c r="GF204" s="2"/>
    </row>
    <row r="205" spans="1:188" ht="14.5" x14ac:dyDescent="0.35">
      <c r="A205" s="72">
        <v>630</v>
      </c>
      <c r="B205" s="70" t="s">
        <v>196</v>
      </c>
      <c r="C205" s="158">
        <v>1557</v>
      </c>
      <c r="D205" s="171"/>
      <c r="E205" s="128">
        <v>1.6911581569115817</v>
      </c>
      <c r="F205" s="128">
        <v>61.160029540419245</v>
      </c>
      <c r="G205" s="129">
        <v>-5078.9980732177264</v>
      </c>
      <c r="H205" s="216"/>
      <c r="I205" s="172"/>
      <c r="J205" s="218"/>
      <c r="K205" s="128">
        <v>46.775658492279746</v>
      </c>
      <c r="L205" s="129">
        <v>1097.6236351958894</v>
      </c>
      <c r="M205" s="129">
        <v>31.869667398967966</v>
      </c>
      <c r="N205" s="129">
        <v>12570.969813744379</v>
      </c>
      <c r="O205" s="129"/>
      <c r="P205" s="117">
        <v>6992</v>
      </c>
      <c r="Q205" s="161">
        <v>16263</v>
      </c>
      <c r="R205" s="161">
        <v>1</v>
      </c>
      <c r="S205" s="161">
        <v>-9270</v>
      </c>
      <c r="T205" s="124">
        <v>4665</v>
      </c>
      <c r="U205" s="124">
        <v>5946</v>
      </c>
      <c r="V205" s="136"/>
      <c r="X205" s="116">
        <v>-50</v>
      </c>
      <c r="Y205" s="116">
        <v>8</v>
      </c>
      <c r="Z205" s="161">
        <v>1299</v>
      </c>
      <c r="AA205" s="116">
        <v>1205</v>
      </c>
      <c r="AB205" s="116">
        <v>105</v>
      </c>
      <c r="AD205" s="161">
        <v>199</v>
      </c>
      <c r="AE205" s="116">
        <v>-7</v>
      </c>
      <c r="AF205" s="116">
        <v>-3</v>
      </c>
      <c r="AG205" s="116">
        <v>-17</v>
      </c>
      <c r="AH205" s="116">
        <v>-1</v>
      </c>
      <c r="AI205" s="160">
        <v>171</v>
      </c>
      <c r="AJ205" s="161">
        <v>4690</v>
      </c>
      <c r="AK205" s="161">
        <v>1310</v>
      </c>
      <c r="AL205" s="150"/>
      <c r="AM205" s="161">
        <v>-32</v>
      </c>
      <c r="AN205" s="161">
        <v>-744</v>
      </c>
      <c r="AO205" s="160">
        <v>-821</v>
      </c>
      <c r="AQ205" s="160"/>
      <c r="AR205" s="117"/>
      <c r="AS205" s="117"/>
      <c r="AT205" s="99">
        <v>19.75</v>
      </c>
      <c r="AU205" s="130"/>
      <c r="AV205" s="262">
        <v>44</v>
      </c>
      <c r="AW205" s="267">
        <v>1578</v>
      </c>
      <c r="AX205" s="124"/>
      <c r="AY205" s="255">
        <v>1.4614443084455324</v>
      </c>
      <c r="AZ205" s="259">
        <v>65.841118912045999</v>
      </c>
      <c r="BA205" s="160">
        <v>-5807.3510773130547</v>
      </c>
      <c r="BB205" s="130"/>
      <c r="BC205" s="130"/>
      <c r="BD205" s="130"/>
      <c r="BE205" s="128">
        <v>46.974965229485399</v>
      </c>
      <c r="BF205" s="160">
        <v>1140.0506970849176</v>
      </c>
      <c r="BG205" s="129">
        <v>30.366322656021808</v>
      </c>
      <c r="BH205" s="131">
        <v>13017.743979721166</v>
      </c>
      <c r="BI205" s="124"/>
      <c r="BJ205" s="117">
        <v>7458</v>
      </c>
      <c r="BK205" s="117">
        <v>16917</v>
      </c>
      <c r="BL205" s="161">
        <v>2</v>
      </c>
      <c r="BM205" s="161">
        <v>-9457</v>
      </c>
      <c r="BN205" s="117">
        <v>4771</v>
      </c>
      <c r="BO205" s="117">
        <v>5860</v>
      </c>
      <c r="BP205" s="136"/>
      <c r="BR205" s="160">
        <v>-43</v>
      </c>
      <c r="BS205" s="160">
        <v>8</v>
      </c>
      <c r="BT205" s="161">
        <v>1139</v>
      </c>
      <c r="BU205" s="125">
        <v>1244</v>
      </c>
      <c r="BV205" s="160">
        <v>0</v>
      </c>
      <c r="BX205" s="161">
        <v>-105</v>
      </c>
      <c r="BY205" s="160">
        <v>-31</v>
      </c>
      <c r="BZ205" s="160">
        <v>-11</v>
      </c>
      <c r="CA205" s="160">
        <v>37</v>
      </c>
      <c r="CB205" s="160">
        <v>10</v>
      </c>
      <c r="CC205" s="160">
        <v>-174</v>
      </c>
      <c r="CD205" s="160">
        <v>4399</v>
      </c>
      <c r="CE205" s="116">
        <v>1085</v>
      </c>
      <c r="CF205" s="150"/>
      <c r="CG205" s="160">
        <v>286</v>
      </c>
      <c r="CH205" s="160">
        <v>-762</v>
      </c>
      <c r="CI205" s="159">
        <v>-1360</v>
      </c>
      <c r="CK205" s="124"/>
      <c r="CL205" s="161"/>
      <c r="CM205" s="124"/>
      <c r="CN205" s="265">
        <v>19.75</v>
      </c>
      <c r="CO205" s="130"/>
      <c r="CP205" s="116">
        <v>51</v>
      </c>
      <c r="CQ205" s="267">
        <v>1593</v>
      </c>
      <c r="CR205" s="124"/>
      <c r="CS205" s="268">
        <v>2.1897356143079314</v>
      </c>
      <c r="CT205" s="269">
        <v>68.240276035131743</v>
      </c>
      <c r="CU205" s="160">
        <v>-5880.1004394224728</v>
      </c>
      <c r="CV205" s="130"/>
      <c r="CW205" s="130"/>
      <c r="CX205" s="130"/>
      <c r="CY205" s="269">
        <v>43.983698848836234</v>
      </c>
      <c r="CZ205" s="125">
        <v>1657.2504708097929</v>
      </c>
      <c r="DA205" s="125">
        <v>47.512450076426212</v>
      </c>
      <c r="DB205" s="273">
        <v>12731.324544883866</v>
      </c>
      <c r="DC205" s="124"/>
      <c r="DD205" s="117">
        <v>7419</v>
      </c>
      <c r="DE205" s="117">
        <v>17755</v>
      </c>
      <c r="DF205" s="117">
        <v>17</v>
      </c>
      <c r="DG205" s="117">
        <v>-10319</v>
      </c>
      <c r="DH205" s="117">
        <v>5028</v>
      </c>
      <c r="DI205" s="117">
        <v>6681</v>
      </c>
      <c r="DJ205" s="136"/>
      <c r="DL205" s="160">
        <v>-45</v>
      </c>
      <c r="DM205" s="160">
        <v>5</v>
      </c>
      <c r="DN205" s="161">
        <v>1350</v>
      </c>
      <c r="DO205" s="116">
        <v>1583</v>
      </c>
      <c r="DP205" s="160">
        <v>0</v>
      </c>
      <c r="DR205" s="161">
        <v>-233</v>
      </c>
      <c r="DS205" s="116">
        <v>-43</v>
      </c>
      <c r="DT205" s="116">
        <v>-17</v>
      </c>
      <c r="DU205" s="116">
        <v>40</v>
      </c>
      <c r="DV205" s="116">
        <v>11</v>
      </c>
      <c r="DW205" s="160">
        <v>-322</v>
      </c>
      <c r="DX205" s="160">
        <v>3979</v>
      </c>
      <c r="DY205" s="116">
        <v>1279</v>
      </c>
      <c r="DZ205" s="150"/>
      <c r="EA205" s="116">
        <v>-100</v>
      </c>
      <c r="EB205" s="116">
        <v>-585</v>
      </c>
      <c r="EC205" s="159">
        <v>-240</v>
      </c>
      <c r="EE205" s="125"/>
      <c r="EF205" s="161"/>
      <c r="EG205" s="124"/>
      <c r="EH205" s="253">
        <v>19.75</v>
      </c>
      <c r="EI205" s="130"/>
      <c r="EJ205" s="125">
        <v>210</v>
      </c>
      <c r="EK205" s="116"/>
      <c r="EL205" s="159"/>
      <c r="EN205" s="116"/>
      <c r="EO205" s="116"/>
      <c r="EP205" s="159"/>
      <c r="EQ205" s="159">
        <v>-2503</v>
      </c>
      <c r="ER205" s="116">
        <v>127</v>
      </c>
      <c r="ES205" s="116">
        <v>245</v>
      </c>
      <c r="ET205" s="160">
        <v>-2687</v>
      </c>
      <c r="EU205" s="116">
        <v>205</v>
      </c>
      <c r="EV205" s="116">
        <v>37</v>
      </c>
      <c r="EW205" s="160">
        <v>-1760</v>
      </c>
      <c r="EX205" s="160">
        <v>210</v>
      </c>
      <c r="EY205" s="160">
        <v>31</v>
      </c>
      <c r="EZ205" s="116">
        <v>642</v>
      </c>
      <c r="FA205" s="116">
        <v>599</v>
      </c>
      <c r="FB205" s="116">
        <v>1838</v>
      </c>
      <c r="FC205" s="160">
        <v>798</v>
      </c>
      <c r="FD205" s="116">
        <v>2882</v>
      </c>
      <c r="FE205" s="116">
        <v>-1728</v>
      </c>
      <c r="FF205" s="3">
        <v>8147</v>
      </c>
      <c r="FG205" s="3">
        <v>5332</v>
      </c>
      <c r="FH205" s="3">
        <v>2815</v>
      </c>
      <c r="FI205" s="3">
        <v>164</v>
      </c>
      <c r="FJ205" s="125">
        <v>9899</v>
      </c>
      <c r="FK205" s="160">
        <v>6375</v>
      </c>
      <c r="FL205" s="125">
        <v>3524</v>
      </c>
      <c r="FM205" s="116">
        <v>149</v>
      </c>
      <c r="FN205" s="125">
        <v>10354</v>
      </c>
      <c r="FO205" s="116">
        <v>6558</v>
      </c>
      <c r="FP205" s="116">
        <v>3796</v>
      </c>
      <c r="FQ205" s="116">
        <v>-100</v>
      </c>
      <c r="FR205" s="153">
        <v>634</v>
      </c>
      <c r="FS205" s="153">
        <v>571</v>
      </c>
      <c r="FT205" s="276">
        <v>508</v>
      </c>
      <c r="FU205" s="3">
        <v>3666</v>
      </c>
      <c r="FV205" s="159">
        <v>2661</v>
      </c>
      <c r="FW205" s="170"/>
      <c r="FZ205" s="155"/>
      <c r="GA205" s="2"/>
      <c r="GD205" s="163"/>
      <c r="GE205" s="2"/>
      <c r="GF205" s="2"/>
    </row>
    <row r="206" spans="1:188" ht="14.5" x14ac:dyDescent="0.35">
      <c r="A206" s="72">
        <v>631</v>
      </c>
      <c r="B206" s="70" t="s">
        <v>197</v>
      </c>
      <c r="C206" s="158">
        <v>2028</v>
      </c>
      <c r="D206" s="171"/>
      <c r="E206" s="128">
        <v>2.6051724137931034</v>
      </c>
      <c r="F206" s="128">
        <v>38.29510789741272</v>
      </c>
      <c r="G206" s="129">
        <v>-1606.0157790927021</v>
      </c>
      <c r="H206" s="216"/>
      <c r="I206" s="172"/>
      <c r="J206" s="218"/>
      <c r="K206" s="128">
        <v>51.124871001031991</v>
      </c>
      <c r="L206" s="129">
        <v>1283.5305719921105</v>
      </c>
      <c r="M206" s="129">
        <v>53.738404977375566</v>
      </c>
      <c r="N206" s="129">
        <v>8717.9487179487169</v>
      </c>
      <c r="O206" s="129"/>
      <c r="P206" s="117">
        <v>5698</v>
      </c>
      <c r="Q206" s="161">
        <v>16196</v>
      </c>
      <c r="R206" s="161">
        <v>1</v>
      </c>
      <c r="S206" s="161">
        <v>-10497</v>
      </c>
      <c r="T206" s="124">
        <v>8372</v>
      </c>
      <c r="U206" s="124">
        <v>3632</v>
      </c>
      <c r="V206" s="136"/>
      <c r="X206" s="116">
        <v>-29</v>
      </c>
      <c r="Y206" s="116">
        <v>2</v>
      </c>
      <c r="Z206" s="161">
        <v>1480</v>
      </c>
      <c r="AA206" s="116">
        <v>830</v>
      </c>
      <c r="AB206" s="116">
        <v>0</v>
      </c>
      <c r="AD206" s="161">
        <v>650</v>
      </c>
      <c r="AE206" s="117">
        <v>-1</v>
      </c>
      <c r="AF206" s="117">
        <v>0</v>
      </c>
      <c r="AG206" s="116">
        <v>0</v>
      </c>
      <c r="AH206" s="116">
        <v>0</v>
      </c>
      <c r="AI206" s="160">
        <v>649</v>
      </c>
      <c r="AJ206" s="161">
        <v>1765</v>
      </c>
      <c r="AK206" s="161">
        <v>1454</v>
      </c>
      <c r="AL206" s="150"/>
      <c r="AM206" s="161">
        <v>10</v>
      </c>
      <c r="AN206" s="161">
        <v>-549</v>
      </c>
      <c r="AO206" s="160">
        <v>773</v>
      </c>
      <c r="AQ206" s="160"/>
      <c r="AR206" s="117"/>
      <c r="AS206" s="117"/>
      <c r="AT206" s="99">
        <v>21.75</v>
      </c>
      <c r="AU206" s="130"/>
      <c r="AV206" s="262">
        <v>68</v>
      </c>
      <c r="AW206" s="267">
        <v>2004</v>
      </c>
      <c r="AX206" s="124"/>
      <c r="AY206" s="255">
        <v>3.9035087719298245</v>
      </c>
      <c r="AZ206" s="259">
        <v>38.672208620395146</v>
      </c>
      <c r="BA206" s="160">
        <v>-1627.245508982036</v>
      </c>
      <c r="BB206" s="130"/>
      <c r="BC206" s="130"/>
      <c r="BD206" s="130"/>
      <c r="BE206" s="128">
        <v>53.059878659984172</v>
      </c>
      <c r="BF206" s="160">
        <v>1059.8802395209582</v>
      </c>
      <c r="BG206" s="129">
        <v>53.075332513691741</v>
      </c>
      <c r="BH206" s="131">
        <v>8929.1417165668663</v>
      </c>
      <c r="BI206" s="124"/>
      <c r="BJ206" s="117">
        <v>5761</v>
      </c>
      <c r="BK206" s="117">
        <v>16234</v>
      </c>
      <c r="BL206" s="161">
        <v>4</v>
      </c>
      <c r="BM206" s="161">
        <v>-10469</v>
      </c>
      <c r="BN206" s="117">
        <v>8361</v>
      </c>
      <c r="BO206" s="117">
        <v>3441</v>
      </c>
      <c r="BP206" s="136"/>
      <c r="BR206" s="160">
        <v>-31</v>
      </c>
      <c r="BS206" s="160">
        <v>0</v>
      </c>
      <c r="BT206" s="161">
        <v>1302</v>
      </c>
      <c r="BU206" s="125">
        <v>688</v>
      </c>
      <c r="BV206" s="160">
        <v>0</v>
      </c>
      <c r="BX206" s="161">
        <v>614</v>
      </c>
      <c r="BY206" s="161">
        <v>0</v>
      </c>
      <c r="BZ206" s="160">
        <v>1</v>
      </c>
      <c r="CA206" s="160">
        <v>0</v>
      </c>
      <c r="CB206" s="160">
        <v>-1</v>
      </c>
      <c r="CC206" s="160">
        <v>614</v>
      </c>
      <c r="CD206" s="160">
        <v>2380</v>
      </c>
      <c r="CE206" s="116">
        <v>1298</v>
      </c>
      <c r="CF206" s="150"/>
      <c r="CG206" s="161">
        <v>-487</v>
      </c>
      <c r="CH206" s="160">
        <v>-309</v>
      </c>
      <c r="CI206" s="159">
        <v>-3</v>
      </c>
      <c r="CK206" s="124"/>
      <c r="CL206" s="161"/>
      <c r="CM206" s="124"/>
      <c r="CN206" s="265">
        <v>21.75</v>
      </c>
      <c r="CO206" s="130"/>
      <c r="CP206" s="116">
        <v>73</v>
      </c>
      <c r="CQ206" s="267">
        <v>1994</v>
      </c>
      <c r="CR206" s="124"/>
      <c r="CS206" s="268">
        <v>3.6794354838709675</v>
      </c>
      <c r="CT206" s="269">
        <v>34.489518105091207</v>
      </c>
      <c r="CU206" s="160">
        <v>-981.44433299899697</v>
      </c>
      <c r="CV206" s="130"/>
      <c r="CW206" s="130"/>
      <c r="CX206" s="130"/>
      <c r="CY206" s="269">
        <v>57.763541798807559</v>
      </c>
      <c r="CZ206" s="125">
        <v>1772.8184553660983</v>
      </c>
      <c r="DA206" s="125">
        <v>73.742641595702125</v>
      </c>
      <c r="DB206" s="273">
        <v>8774.8244734202599</v>
      </c>
      <c r="DC206" s="124"/>
      <c r="DD206" s="117">
        <v>5676</v>
      </c>
      <c r="DE206" s="117">
        <v>16549</v>
      </c>
      <c r="DF206" s="117">
        <v>5</v>
      </c>
      <c r="DG206" s="117">
        <v>-10868</v>
      </c>
      <c r="DH206" s="117">
        <v>8622</v>
      </c>
      <c r="DI206" s="117">
        <v>4067</v>
      </c>
      <c r="DJ206" s="136"/>
      <c r="DL206" s="160">
        <v>-25</v>
      </c>
      <c r="DM206" s="160">
        <v>4</v>
      </c>
      <c r="DN206" s="161">
        <v>1800</v>
      </c>
      <c r="DO206" s="116">
        <v>739</v>
      </c>
      <c r="DP206" s="160">
        <v>-2</v>
      </c>
      <c r="DR206" s="161">
        <v>1059</v>
      </c>
      <c r="DS206" s="117">
        <v>-1</v>
      </c>
      <c r="DT206" s="116">
        <v>0</v>
      </c>
      <c r="DU206" s="116">
        <v>0</v>
      </c>
      <c r="DV206" s="116">
        <v>1</v>
      </c>
      <c r="DW206" s="160">
        <v>1059</v>
      </c>
      <c r="DX206" s="160">
        <v>3439</v>
      </c>
      <c r="DY206" s="116">
        <v>1793</v>
      </c>
      <c r="DZ206" s="150"/>
      <c r="EA206" s="117">
        <v>564</v>
      </c>
      <c r="EB206" s="116">
        <v>-471</v>
      </c>
      <c r="EC206" s="159">
        <v>1379</v>
      </c>
      <c r="EE206" s="125"/>
      <c r="EF206" s="161"/>
      <c r="EG206" s="124"/>
      <c r="EH206" s="253">
        <v>21.75</v>
      </c>
      <c r="EI206" s="130"/>
      <c r="EJ206" s="125">
        <v>190</v>
      </c>
      <c r="EK206" s="116"/>
      <c r="EL206" s="159"/>
      <c r="EN206" s="116"/>
      <c r="EO206" s="116"/>
      <c r="EP206" s="159"/>
      <c r="EQ206" s="159">
        <v>-903</v>
      </c>
      <c r="ER206" s="116">
        <v>156</v>
      </c>
      <c r="ES206" s="116">
        <v>66</v>
      </c>
      <c r="ET206" s="160">
        <v>-1312</v>
      </c>
      <c r="EU206" s="116">
        <v>2</v>
      </c>
      <c r="EV206" s="116">
        <v>9</v>
      </c>
      <c r="EW206" s="160">
        <v>-452</v>
      </c>
      <c r="EX206" s="160">
        <v>24</v>
      </c>
      <c r="EY206" s="160">
        <v>14</v>
      </c>
      <c r="EZ206" s="116">
        <v>124</v>
      </c>
      <c r="FA206" s="116">
        <v>0</v>
      </c>
      <c r="FB206" s="116">
        <v>6</v>
      </c>
      <c r="FC206" s="160">
        <v>0</v>
      </c>
      <c r="FD206" s="116">
        <v>13</v>
      </c>
      <c r="FE206" s="116">
        <v>99</v>
      </c>
      <c r="FF206" s="3">
        <v>3685</v>
      </c>
      <c r="FG206" s="3">
        <v>2376</v>
      </c>
      <c r="FH206" s="3">
        <v>1309</v>
      </c>
      <c r="FI206" s="3">
        <v>0</v>
      </c>
      <c r="FJ206" s="125">
        <v>3382</v>
      </c>
      <c r="FK206" s="160">
        <v>2015</v>
      </c>
      <c r="FL206" s="125">
        <v>1367</v>
      </c>
      <c r="FM206" s="116">
        <v>0</v>
      </c>
      <c r="FN206" s="125">
        <v>3022</v>
      </c>
      <c r="FO206" s="116">
        <v>1556</v>
      </c>
      <c r="FP206" s="116">
        <v>1466</v>
      </c>
      <c r="FQ206" s="116">
        <v>564</v>
      </c>
      <c r="FR206" s="153">
        <v>0</v>
      </c>
      <c r="FS206" s="153">
        <v>3</v>
      </c>
      <c r="FT206" s="276">
        <v>0</v>
      </c>
      <c r="FU206" s="3">
        <v>923</v>
      </c>
      <c r="FV206" s="159">
        <v>1070</v>
      </c>
      <c r="FW206" s="170"/>
      <c r="FZ206" s="155"/>
      <c r="GA206" s="2"/>
      <c r="GD206" s="163"/>
      <c r="GE206" s="2"/>
      <c r="GF206" s="2"/>
    </row>
    <row r="207" spans="1:188" ht="14.5" x14ac:dyDescent="0.35">
      <c r="A207" s="72">
        <v>635</v>
      </c>
      <c r="B207" s="70" t="s">
        <v>198</v>
      </c>
      <c r="C207" s="158">
        <v>6499</v>
      </c>
      <c r="D207" s="171"/>
      <c r="E207" s="128">
        <v>0.77128335451080055</v>
      </c>
      <c r="F207" s="128">
        <v>59.569956650122514</v>
      </c>
      <c r="G207" s="129">
        <v>-3918.4489921526388</v>
      </c>
      <c r="H207" s="216"/>
      <c r="I207" s="172"/>
      <c r="J207" s="218"/>
      <c r="K207" s="128">
        <v>42.15778572773489</v>
      </c>
      <c r="L207" s="129">
        <v>1359.2860440067702</v>
      </c>
      <c r="M207" s="129">
        <v>43.762944665372764</v>
      </c>
      <c r="N207" s="129">
        <v>11336.974919218343</v>
      </c>
      <c r="O207" s="129"/>
      <c r="P207" s="117">
        <v>24708</v>
      </c>
      <c r="Q207" s="161">
        <v>62503</v>
      </c>
      <c r="R207" s="161">
        <v>4</v>
      </c>
      <c r="S207" s="161">
        <v>-37791</v>
      </c>
      <c r="T207" s="124">
        <v>22205</v>
      </c>
      <c r="U207" s="124">
        <v>16755</v>
      </c>
      <c r="V207" s="136"/>
      <c r="X207" s="116">
        <v>-217</v>
      </c>
      <c r="Y207" s="116">
        <v>40</v>
      </c>
      <c r="Z207" s="161">
        <v>992</v>
      </c>
      <c r="AA207" s="116">
        <v>3390</v>
      </c>
      <c r="AB207" s="116">
        <v>0</v>
      </c>
      <c r="AD207" s="161">
        <v>-2398</v>
      </c>
      <c r="AE207" s="117">
        <v>-63</v>
      </c>
      <c r="AF207" s="117">
        <v>0</v>
      </c>
      <c r="AG207" s="116">
        <v>-66</v>
      </c>
      <c r="AH207" s="116">
        <v>-19</v>
      </c>
      <c r="AI207" s="160">
        <v>-2546</v>
      </c>
      <c r="AJ207" s="161">
        <v>14078</v>
      </c>
      <c r="AK207" s="161">
        <v>661</v>
      </c>
      <c r="AL207" s="150"/>
      <c r="AM207" s="161">
        <v>-526</v>
      </c>
      <c r="AN207" s="161">
        <v>-1352</v>
      </c>
      <c r="AO207" s="160">
        <v>-7713</v>
      </c>
      <c r="AQ207" s="160"/>
      <c r="AR207" s="117"/>
      <c r="AS207" s="117"/>
      <c r="AT207" s="99">
        <v>21</v>
      </c>
      <c r="AU207" s="130"/>
      <c r="AV207" s="262">
        <v>260</v>
      </c>
      <c r="AW207" s="267">
        <v>6435</v>
      </c>
      <c r="AX207" s="124"/>
      <c r="AY207" s="255">
        <v>1.6786771964461995</v>
      </c>
      <c r="AZ207" s="259">
        <v>55.072441665395758</v>
      </c>
      <c r="BA207" s="160">
        <v>-4445.6876456876462</v>
      </c>
      <c r="BB207" s="130"/>
      <c r="BC207" s="130"/>
      <c r="BD207" s="130"/>
      <c r="BE207" s="128">
        <v>43.667635585945149</v>
      </c>
      <c r="BF207" s="160">
        <v>666.20046620046628</v>
      </c>
      <c r="BG207" s="129">
        <v>45.578570217096335</v>
      </c>
      <c r="BH207" s="131">
        <v>10994.871794871795</v>
      </c>
      <c r="BI207" s="124"/>
      <c r="BJ207" s="117">
        <v>25734</v>
      </c>
      <c r="BK207" s="117">
        <v>62319</v>
      </c>
      <c r="BL207" s="161">
        <v>23</v>
      </c>
      <c r="BM207" s="161">
        <v>-36562</v>
      </c>
      <c r="BN207" s="117">
        <v>23360</v>
      </c>
      <c r="BO207" s="117">
        <v>16476</v>
      </c>
      <c r="BP207" s="136"/>
      <c r="BR207" s="160">
        <v>-293</v>
      </c>
      <c r="BS207" s="160">
        <v>119</v>
      </c>
      <c r="BT207" s="161">
        <v>3100</v>
      </c>
      <c r="BU207" s="125">
        <v>3544</v>
      </c>
      <c r="BV207" s="160">
        <v>0</v>
      </c>
      <c r="BX207" s="161">
        <v>-444</v>
      </c>
      <c r="BY207" s="161">
        <v>-55</v>
      </c>
      <c r="BZ207" s="161">
        <v>0</v>
      </c>
      <c r="CA207" s="160">
        <v>70</v>
      </c>
      <c r="CB207" s="160">
        <v>14</v>
      </c>
      <c r="CC207" s="160">
        <v>-555</v>
      </c>
      <c r="CD207" s="160">
        <v>13525</v>
      </c>
      <c r="CE207" s="116">
        <v>2493</v>
      </c>
      <c r="CF207" s="150"/>
      <c r="CG207" s="161">
        <v>412</v>
      </c>
      <c r="CH207" s="160">
        <v>-1725</v>
      </c>
      <c r="CI207" s="159">
        <v>-3031</v>
      </c>
      <c r="CK207" s="124"/>
      <c r="CL207" s="161"/>
      <c r="CM207" s="124"/>
      <c r="CN207" s="265">
        <v>21.5</v>
      </c>
      <c r="CO207" s="130"/>
      <c r="CP207" s="116">
        <v>127</v>
      </c>
      <c r="CQ207" s="267">
        <v>6415</v>
      </c>
      <c r="CR207" s="124"/>
      <c r="CS207" s="268">
        <v>2.9440758293838862</v>
      </c>
      <c r="CT207" s="269">
        <v>57.678890618693423</v>
      </c>
      <c r="CU207" s="160">
        <v>-4304.2868277474672</v>
      </c>
      <c r="CV207" s="130"/>
      <c r="CW207" s="130"/>
      <c r="CX207" s="130"/>
      <c r="CY207" s="269">
        <v>42.814806608411459</v>
      </c>
      <c r="CZ207" s="125">
        <v>1339.360872954014</v>
      </c>
      <c r="DA207" s="125">
        <v>44.552919448785339</v>
      </c>
      <c r="DB207" s="273">
        <v>10972.720187061574</v>
      </c>
      <c r="DC207" s="124"/>
      <c r="DD207" s="117">
        <v>26573</v>
      </c>
      <c r="DE207" s="117">
        <v>63293</v>
      </c>
      <c r="DF207" s="117">
        <v>53</v>
      </c>
      <c r="DG207" s="117">
        <v>-36667</v>
      </c>
      <c r="DH207" s="117">
        <v>23838</v>
      </c>
      <c r="DI207" s="117">
        <v>18961</v>
      </c>
      <c r="DJ207" s="136"/>
      <c r="DL207" s="160">
        <v>-244</v>
      </c>
      <c r="DM207" s="160">
        <v>70</v>
      </c>
      <c r="DN207" s="161">
        <v>5958</v>
      </c>
      <c r="DO207" s="116">
        <v>3908</v>
      </c>
      <c r="DP207" s="160">
        <v>0</v>
      </c>
      <c r="DR207" s="161">
        <v>2050</v>
      </c>
      <c r="DS207" s="117">
        <v>-197</v>
      </c>
      <c r="DT207" s="117">
        <v>0</v>
      </c>
      <c r="DU207" s="116">
        <v>149</v>
      </c>
      <c r="DV207" s="116">
        <v>21</v>
      </c>
      <c r="DW207" s="160">
        <v>1725</v>
      </c>
      <c r="DX207" s="160">
        <v>15250</v>
      </c>
      <c r="DY207" s="116">
        <v>5581</v>
      </c>
      <c r="DZ207" s="150"/>
      <c r="EA207" s="117">
        <v>-592</v>
      </c>
      <c r="EB207" s="116">
        <v>-1856</v>
      </c>
      <c r="EC207" s="159">
        <v>1050</v>
      </c>
      <c r="EE207" s="125"/>
      <c r="EF207" s="161"/>
      <c r="EG207" s="124"/>
      <c r="EH207" s="253">
        <v>21.5</v>
      </c>
      <c r="EI207" s="130"/>
      <c r="EJ207" s="125">
        <v>170</v>
      </c>
      <c r="EK207" s="116"/>
      <c r="EL207" s="159"/>
      <c r="EN207" s="116"/>
      <c r="EO207" s="116"/>
      <c r="EP207" s="159"/>
      <c r="EQ207" s="159">
        <v>-9525</v>
      </c>
      <c r="ER207" s="116">
        <v>261</v>
      </c>
      <c r="ES207" s="116">
        <v>890</v>
      </c>
      <c r="ET207" s="160">
        <v>-6310</v>
      </c>
      <c r="EU207" s="116">
        <v>0</v>
      </c>
      <c r="EV207" s="116">
        <v>786</v>
      </c>
      <c r="EW207" s="160">
        <v>-4853</v>
      </c>
      <c r="EX207" s="160">
        <v>0</v>
      </c>
      <c r="EY207" s="160">
        <v>322</v>
      </c>
      <c r="EZ207" s="116">
        <v>8631</v>
      </c>
      <c r="FA207" s="116">
        <v>-14</v>
      </c>
      <c r="FB207" s="116">
        <v>1806</v>
      </c>
      <c r="FC207" s="160">
        <v>2</v>
      </c>
      <c r="FD207" s="116">
        <v>4200</v>
      </c>
      <c r="FE207" s="116">
        <v>59</v>
      </c>
      <c r="FF207" s="3">
        <v>23679</v>
      </c>
      <c r="FG207" s="3">
        <v>21989</v>
      </c>
      <c r="FH207" s="3">
        <v>1690</v>
      </c>
      <c r="FI207" s="3">
        <v>122</v>
      </c>
      <c r="FJ207" s="125">
        <v>23764</v>
      </c>
      <c r="FK207" s="160">
        <v>22117</v>
      </c>
      <c r="FL207" s="125">
        <v>1647</v>
      </c>
      <c r="FM207" s="116">
        <v>120</v>
      </c>
      <c r="FN207" s="125">
        <v>26417</v>
      </c>
      <c r="FO207" s="116">
        <v>24565</v>
      </c>
      <c r="FP207" s="116">
        <v>1852</v>
      </c>
      <c r="FQ207" s="116">
        <v>-592</v>
      </c>
      <c r="FR207" s="153">
        <v>1704</v>
      </c>
      <c r="FS207" s="153">
        <v>1428</v>
      </c>
      <c r="FT207" s="276">
        <v>1428</v>
      </c>
      <c r="FU207" s="3">
        <v>1997</v>
      </c>
      <c r="FV207" s="159">
        <v>2719</v>
      </c>
      <c r="FW207" s="170"/>
      <c r="FZ207" s="155"/>
      <c r="GA207" s="2"/>
      <c r="GD207" s="163"/>
      <c r="GE207" s="2"/>
      <c r="GF207" s="2"/>
    </row>
    <row r="208" spans="1:188" ht="14.5" x14ac:dyDescent="0.35">
      <c r="A208" s="72">
        <v>636</v>
      </c>
      <c r="B208" s="70" t="s">
        <v>199</v>
      </c>
      <c r="C208" s="158">
        <v>8333</v>
      </c>
      <c r="D208" s="171"/>
      <c r="E208" s="128">
        <v>1.0570549242424243</v>
      </c>
      <c r="F208" s="128">
        <v>39.480166482629748</v>
      </c>
      <c r="G208" s="129">
        <v>-2978.3991359654383</v>
      </c>
      <c r="H208" s="216"/>
      <c r="I208" s="172"/>
      <c r="J208" s="218"/>
      <c r="K208" s="128">
        <v>46.895781983909224</v>
      </c>
      <c r="L208" s="129">
        <v>464.41857674306976</v>
      </c>
      <c r="M208" s="129">
        <v>15.581772453504533</v>
      </c>
      <c r="N208" s="129">
        <v>10878.915156606265</v>
      </c>
      <c r="O208" s="129"/>
      <c r="P208" s="117">
        <v>31205</v>
      </c>
      <c r="Q208" s="161">
        <v>77880</v>
      </c>
      <c r="R208" s="161">
        <v>11</v>
      </c>
      <c r="S208" s="161">
        <v>-46664</v>
      </c>
      <c r="T208" s="124">
        <v>27182</v>
      </c>
      <c r="U208" s="124">
        <v>24024</v>
      </c>
      <c r="V208" s="136"/>
      <c r="X208" s="116">
        <v>-203</v>
      </c>
      <c r="Y208" s="116">
        <v>-77</v>
      </c>
      <c r="Z208" s="161">
        <v>4262</v>
      </c>
      <c r="AA208" s="116">
        <v>3613</v>
      </c>
      <c r="AB208" s="116">
        <v>-16</v>
      </c>
      <c r="AD208" s="161">
        <v>633</v>
      </c>
      <c r="AE208" s="116">
        <v>5</v>
      </c>
      <c r="AF208" s="116">
        <v>0</v>
      </c>
      <c r="AG208" s="116">
        <v>-2</v>
      </c>
      <c r="AH208" s="116">
        <v>-10</v>
      </c>
      <c r="AI208" s="160">
        <v>626</v>
      </c>
      <c r="AJ208" s="161">
        <v>5368</v>
      </c>
      <c r="AK208" s="161">
        <v>3941</v>
      </c>
      <c r="AL208" s="150"/>
      <c r="AM208" s="161">
        <v>-121</v>
      </c>
      <c r="AN208" s="161">
        <v>-4021</v>
      </c>
      <c r="AO208" s="160">
        <v>-4431</v>
      </c>
      <c r="AQ208" s="160"/>
      <c r="AR208" s="117"/>
      <c r="AS208" s="117"/>
      <c r="AT208" s="99">
        <v>21.25</v>
      </c>
      <c r="AU208" s="130"/>
      <c r="AV208" s="262">
        <v>138</v>
      </c>
      <c r="AW208" s="267">
        <v>8276</v>
      </c>
      <c r="AX208" s="124"/>
      <c r="AY208" s="255">
        <v>0.59213863060016902</v>
      </c>
      <c r="AZ208" s="259">
        <v>49.607056165733376</v>
      </c>
      <c r="BA208" s="160">
        <v>-4020.2996616723058</v>
      </c>
      <c r="BB208" s="130"/>
      <c r="BC208" s="130"/>
      <c r="BD208" s="130"/>
      <c r="BE208" s="128">
        <v>39.157840938129986</v>
      </c>
      <c r="BF208" s="160">
        <v>457.10488158530694</v>
      </c>
      <c r="BG208" s="129">
        <v>14.921092660666751</v>
      </c>
      <c r="BH208" s="131">
        <v>11438.859352344129</v>
      </c>
      <c r="BI208" s="124"/>
      <c r="BJ208" s="117">
        <v>32445</v>
      </c>
      <c r="BK208" s="117">
        <v>81797</v>
      </c>
      <c r="BL208" s="161">
        <v>28</v>
      </c>
      <c r="BM208" s="161">
        <v>-49324</v>
      </c>
      <c r="BN208" s="117">
        <v>27610</v>
      </c>
      <c r="BO208" s="117">
        <v>23163</v>
      </c>
      <c r="BP208" s="136"/>
      <c r="BR208" s="160">
        <v>-183</v>
      </c>
      <c r="BS208" s="160">
        <v>-49</v>
      </c>
      <c r="BT208" s="161">
        <v>1217</v>
      </c>
      <c r="BU208" s="125">
        <v>4234</v>
      </c>
      <c r="BV208" s="160">
        <v>-5</v>
      </c>
      <c r="BW208" s="117"/>
      <c r="BX208" s="161">
        <v>-3022</v>
      </c>
      <c r="BY208" s="160">
        <v>16</v>
      </c>
      <c r="BZ208" s="160">
        <v>0</v>
      </c>
      <c r="CA208" s="160">
        <v>9</v>
      </c>
      <c r="CB208" s="160">
        <v>-5</v>
      </c>
      <c r="CC208" s="160">
        <v>-3020</v>
      </c>
      <c r="CD208" s="160">
        <v>2345</v>
      </c>
      <c r="CE208" s="116">
        <v>1109</v>
      </c>
      <c r="CF208" s="150"/>
      <c r="CG208" s="160">
        <v>-381</v>
      </c>
      <c r="CH208" s="160">
        <v>-2182</v>
      </c>
      <c r="CI208" s="159">
        <v>-8700</v>
      </c>
      <c r="CK208" s="124"/>
      <c r="CL208" s="161"/>
      <c r="CM208" s="124"/>
      <c r="CN208" s="265">
        <v>21.25</v>
      </c>
      <c r="CO208" s="130"/>
      <c r="CP208" s="116">
        <v>252</v>
      </c>
      <c r="CQ208" s="267">
        <v>8229</v>
      </c>
      <c r="CR208" s="124"/>
      <c r="CS208" s="268">
        <v>2.1968810916179335</v>
      </c>
      <c r="CT208" s="269">
        <v>40.107206941195173</v>
      </c>
      <c r="CU208" s="160">
        <v>-3017.2560456920646</v>
      </c>
      <c r="CV208" s="130"/>
      <c r="CW208" s="130"/>
      <c r="CX208" s="130"/>
      <c r="CY208" s="269">
        <v>46.033549224708992</v>
      </c>
      <c r="CZ208" s="125">
        <v>697.89767894033298</v>
      </c>
      <c r="DA208" s="125">
        <v>24.377762013304185</v>
      </c>
      <c r="DB208" s="273">
        <v>10449.386316684895</v>
      </c>
      <c r="DC208" s="124"/>
      <c r="DD208" s="117">
        <v>32487</v>
      </c>
      <c r="DE208" s="117">
        <v>79795</v>
      </c>
      <c r="DF208" s="117">
        <v>27</v>
      </c>
      <c r="DG208" s="117">
        <v>-47281</v>
      </c>
      <c r="DH208" s="117">
        <v>28926</v>
      </c>
      <c r="DI208" s="117">
        <v>26641</v>
      </c>
      <c r="DJ208" s="136"/>
      <c r="DL208" s="160">
        <v>-174</v>
      </c>
      <c r="DM208" s="160">
        <v>-399</v>
      </c>
      <c r="DN208" s="161">
        <v>7713</v>
      </c>
      <c r="DO208" s="116">
        <v>4425</v>
      </c>
      <c r="DP208" s="160">
        <v>-2</v>
      </c>
      <c r="DQ208" s="117"/>
      <c r="DR208" s="161">
        <v>3286</v>
      </c>
      <c r="DS208" s="116">
        <v>6</v>
      </c>
      <c r="DT208" s="116">
        <v>0</v>
      </c>
      <c r="DU208" s="116">
        <v>17</v>
      </c>
      <c r="DV208" s="116">
        <v>-1</v>
      </c>
      <c r="DW208" s="160">
        <v>3274</v>
      </c>
      <c r="DX208" s="160">
        <v>5644</v>
      </c>
      <c r="DY208" s="116">
        <v>7621</v>
      </c>
      <c r="DZ208" s="150"/>
      <c r="EA208" s="116">
        <v>-516</v>
      </c>
      <c r="EB208" s="116">
        <v>-3415</v>
      </c>
      <c r="EC208" s="159">
        <v>7992</v>
      </c>
      <c r="EE208" s="125"/>
      <c r="EF208" s="161"/>
      <c r="EG208" s="124"/>
      <c r="EH208" s="253">
        <v>21.25</v>
      </c>
      <c r="EI208" s="130"/>
      <c r="EJ208" s="125">
        <v>161</v>
      </c>
      <c r="EK208" s="116"/>
      <c r="EL208" s="159"/>
      <c r="EN208" s="116"/>
      <c r="EO208" s="116"/>
      <c r="EP208" s="159"/>
      <c r="EQ208" s="159">
        <v>-8518</v>
      </c>
      <c r="ER208" s="116">
        <v>45</v>
      </c>
      <c r="ES208" s="116">
        <v>101</v>
      </c>
      <c r="ET208" s="160">
        <v>-10487</v>
      </c>
      <c r="EU208" s="116">
        <v>164</v>
      </c>
      <c r="EV208" s="116">
        <v>514</v>
      </c>
      <c r="EW208" s="160">
        <v>-2250</v>
      </c>
      <c r="EX208" s="160">
        <v>58</v>
      </c>
      <c r="EY208" s="160">
        <v>2563</v>
      </c>
      <c r="EZ208" s="116">
        <v>8591</v>
      </c>
      <c r="FA208" s="116">
        <v>-1046</v>
      </c>
      <c r="FB208" s="116">
        <v>8026</v>
      </c>
      <c r="FC208" s="160">
        <v>2676</v>
      </c>
      <c r="FD208" s="116">
        <v>160</v>
      </c>
      <c r="FE208" s="116">
        <v>-2129</v>
      </c>
      <c r="FF208" s="3">
        <v>19412</v>
      </c>
      <c r="FG208" s="3">
        <v>17978</v>
      </c>
      <c r="FH208" s="3">
        <v>1434</v>
      </c>
      <c r="FI208" s="3">
        <v>432</v>
      </c>
      <c r="FJ208" s="125">
        <v>27960</v>
      </c>
      <c r="FK208" s="160">
        <v>22627</v>
      </c>
      <c r="FL208" s="125">
        <v>5333</v>
      </c>
      <c r="FM208" s="116">
        <v>466</v>
      </c>
      <c r="FN208" s="125">
        <v>22608</v>
      </c>
      <c r="FO208" s="116">
        <v>19423</v>
      </c>
      <c r="FP208" s="116">
        <v>3185</v>
      </c>
      <c r="FQ208" s="116">
        <v>-516</v>
      </c>
      <c r="FR208" s="153">
        <v>305</v>
      </c>
      <c r="FS208" s="153">
        <v>821</v>
      </c>
      <c r="FT208" s="276">
        <v>750</v>
      </c>
      <c r="FU208" s="3">
        <v>4790</v>
      </c>
      <c r="FV208" s="159">
        <v>4851</v>
      </c>
      <c r="FW208" s="170"/>
      <c r="FZ208" s="155"/>
      <c r="GA208" s="2"/>
      <c r="GD208" s="163"/>
      <c r="GE208" s="2"/>
      <c r="GF208" s="2"/>
    </row>
    <row r="209" spans="1:188" ht="14.5" x14ac:dyDescent="0.35">
      <c r="A209" s="72">
        <v>678</v>
      </c>
      <c r="B209" s="70" t="s">
        <v>201</v>
      </c>
      <c r="C209" s="158">
        <v>24811</v>
      </c>
      <c r="D209" s="171"/>
      <c r="E209" s="128">
        <v>1.1525171283884421</v>
      </c>
      <c r="F209" s="128">
        <v>117.9650489139203</v>
      </c>
      <c r="G209" s="129">
        <v>-9490.5485470154363</v>
      </c>
      <c r="H209" s="216"/>
      <c r="I209" s="172"/>
      <c r="J209" s="218"/>
      <c r="K209" s="128">
        <v>21.038505973917303</v>
      </c>
      <c r="L209" s="129">
        <v>2539.9621135786547</v>
      </c>
      <c r="M209" s="129">
        <v>74.886572664793576</v>
      </c>
      <c r="N209" s="129">
        <v>12379.871831042683</v>
      </c>
      <c r="O209" s="129"/>
      <c r="P209" s="117">
        <v>115561</v>
      </c>
      <c r="Q209" s="161">
        <v>249367</v>
      </c>
      <c r="R209" s="161">
        <v>28</v>
      </c>
      <c r="S209" s="161">
        <v>-133778</v>
      </c>
      <c r="T209" s="124">
        <v>91358</v>
      </c>
      <c r="U209" s="124">
        <v>65398</v>
      </c>
      <c r="V209" s="136"/>
      <c r="X209" s="116">
        <v>-2930</v>
      </c>
      <c r="Y209" s="116">
        <v>109</v>
      </c>
      <c r="Z209" s="161">
        <v>20158</v>
      </c>
      <c r="AA209" s="116">
        <v>20892</v>
      </c>
      <c r="AB209" s="117">
        <v>0</v>
      </c>
      <c r="AD209" s="161">
        <v>-734</v>
      </c>
      <c r="AE209" s="117">
        <v>-6</v>
      </c>
      <c r="AF209" s="117">
        <v>0</v>
      </c>
      <c r="AG209" s="116">
        <v>-39</v>
      </c>
      <c r="AH209" s="116">
        <v>1</v>
      </c>
      <c r="AI209" s="160">
        <v>-778</v>
      </c>
      <c r="AJ209" s="161">
        <v>15061</v>
      </c>
      <c r="AK209" s="161">
        <v>19081</v>
      </c>
      <c r="AL209" s="150"/>
      <c r="AM209" s="161">
        <v>-2029</v>
      </c>
      <c r="AN209" s="161">
        <v>-17085</v>
      </c>
      <c r="AO209" s="160">
        <v>-7675</v>
      </c>
      <c r="AQ209" s="160"/>
      <c r="AR209" s="117"/>
      <c r="AS209" s="117"/>
      <c r="AT209" s="99">
        <v>21</v>
      </c>
      <c r="AU209" s="130"/>
      <c r="AV209" s="262">
        <v>46</v>
      </c>
      <c r="AW209" s="267">
        <v>24679</v>
      </c>
      <c r="AX209" s="124"/>
      <c r="AY209" s="255">
        <v>0.66507456532197096</v>
      </c>
      <c r="AZ209" s="259">
        <v>121.21476869764403</v>
      </c>
      <c r="BA209" s="160">
        <v>-9832.1244783013899</v>
      </c>
      <c r="BB209" s="130"/>
      <c r="BC209" s="130"/>
      <c r="BD209" s="130"/>
      <c r="BE209" s="128">
        <v>20.6097268664757</v>
      </c>
      <c r="BF209" s="160">
        <v>2695.6116536326431</v>
      </c>
      <c r="BG209" s="129">
        <v>73.424568986155847</v>
      </c>
      <c r="BH209" s="131">
        <v>12693.909801855829</v>
      </c>
      <c r="BI209" s="124"/>
      <c r="BJ209" s="117">
        <v>114597</v>
      </c>
      <c r="BK209" s="117">
        <v>256139</v>
      </c>
      <c r="BL209" s="161">
        <v>50</v>
      </c>
      <c r="BM209" s="161">
        <v>-141492</v>
      </c>
      <c r="BN209" s="117">
        <v>91871</v>
      </c>
      <c r="BO209" s="117">
        <v>65946</v>
      </c>
      <c r="BP209" s="136"/>
      <c r="BR209" s="160">
        <v>-3099</v>
      </c>
      <c r="BS209" s="160">
        <v>3020</v>
      </c>
      <c r="BT209" s="161">
        <v>16246</v>
      </c>
      <c r="BU209" s="125">
        <v>19926</v>
      </c>
      <c r="BV209" s="161">
        <v>357</v>
      </c>
      <c r="BW209" s="117"/>
      <c r="BX209" s="161">
        <v>-3323</v>
      </c>
      <c r="BY209" s="161">
        <v>2</v>
      </c>
      <c r="BZ209" s="160">
        <v>0</v>
      </c>
      <c r="CA209" s="160">
        <v>417</v>
      </c>
      <c r="CB209" s="160">
        <v>50</v>
      </c>
      <c r="CC209" s="160">
        <v>-3688</v>
      </c>
      <c r="CD209" s="160">
        <v>13157</v>
      </c>
      <c r="CE209" s="116">
        <v>15175</v>
      </c>
      <c r="CF209" s="150"/>
      <c r="CG209" s="160">
        <v>2232</v>
      </c>
      <c r="CH209" s="160">
        <v>-25993</v>
      </c>
      <c r="CI209" s="159">
        <v>-7369</v>
      </c>
      <c r="CK209" s="124"/>
      <c r="CL209" s="161"/>
      <c r="CM209" s="124"/>
      <c r="CN209" s="265">
        <v>21</v>
      </c>
      <c r="CO209" s="130"/>
      <c r="CP209" s="116">
        <v>69</v>
      </c>
      <c r="CQ209" s="267">
        <v>24353</v>
      </c>
      <c r="CR209" s="124"/>
      <c r="CS209" s="268">
        <v>1.21191861399505</v>
      </c>
      <c r="CT209" s="269">
        <v>117.91096625218395</v>
      </c>
      <c r="CU209" s="160">
        <v>-10409.559397199522</v>
      </c>
      <c r="CV209" s="130"/>
      <c r="CW209" s="130"/>
      <c r="CX209" s="130"/>
      <c r="CY209" s="269">
        <v>22.34058351674901</v>
      </c>
      <c r="CZ209" s="125">
        <v>2831.9714203588878</v>
      </c>
      <c r="DA209" s="125">
        <v>74.518528276417371</v>
      </c>
      <c r="DB209" s="273">
        <v>13871.309489590605</v>
      </c>
      <c r="DC209" s="124"/>
      <c r="DD209" s="117">
        <v>115667</v>
      </c>
      <c r="DE209" s="117">
        <v>258718</v>
      </c>
      <c r="DF209" s="117">
        <v>68</v>
      </c>
      <c r="DG209" s="117">
        <v>-142983</v>
      </c>
      <c r="DH209" s="117">
        <v>98312</v>
      </c>
      <c r="DI209" s="117">
        <v>79640</v>
      </c>
      <c r="DJ209" s="136"/>
      <c r="DL209" s="160">
        <v>-2974</v>
      </c>
      <c r="DM209" s="160">
        <v>2670</v>
      </c>
      <c r="DN209" s="161">
        <v>34665</v>
      </c>
      <c r="DO209" s="116">
        <v>21742</v>
      </c>
      <c r="DP209" s="161">
        <v>0</v>
      </c>
      <c r="DQ209" s="117"/>
      <c r="DR209" s="161">
        <v>12923</v>
      </c>
      <c r="DS209" s="117">
        <v>-9</v>
      </c>
      <c r="DT209" s="116">
        <v>-41</v>
      </c>
      <c r="DU209" s="116">
        <v>748</v>
      </c>
      <c r="DV209" s="116">
        <v>-81</v>
      </c>
      <c r="DW209" s="160">
        <v>12044</v>
      </c>
      <c r="DX209" s="160">
        <v>24781</v>
      </c>
      <c r="DY209" s="116">
        <v>33017</v>
      </c>
      <c r="DZ209" s="150"/>
      <c r="EA209" s="116">
        <v>-2496</v>
      </c>
      <c r="EB209" s="116">
        <v>-28072</v>
      </c>
      <c r="EC209" s="159">
        <v>-11771</v>
      </c>
      <c r="EE209" s="125"/>
      <c r="EF209" s="161"/>
      <c r="EG209" s="124"/>
      <c r="EH209" s="253">
        <v>21</v>
      </c>
      <c r="EI209" s="130"/>
      <c r="EJ209" s="125">
        <v>28</v>
      </c>
      <c r="EK209" s="116"/>
      <c r="EL209" s="159"/>
      <c r="EN209" s="116"/>
      <c r="EO209" s="116"/>
      <c r="EP209" s="159"/>
      <c r="EQ209" s="159">
        <v>-31153</v>
      </c>
      <c r="ER209" s="116">
        <v>1902</v>
      </c>
      <c r="ES209" s="116">
        <v>2495</v>
      </c>
      <c r="ET209" s="160">
        <v>-26124</v>
      </c>
      <c r="EU209" s="116">
        <v>62</v>
      </c>
      <c r="EV209" s="116">
        <v>3518</v>
      </c>
      <c r="EW209" s="160">
        <v>-45681</v>
      </c>
      <c r="EX209" s="160">
        <v>65</v>
      </c>
      <c r="EY209" s="160">
        <v>828</v>
      </c>
      <c r="EZ209" s="116">
        <v>55827</v>
      </c>
      <c r="FA209" s="116">
        <v>-34640</v>
      </c>
      <c r="FB209" s="116">
        <v>24701</v>
      </c>
      <c r="FC209" s="160">
        <v>12153</v>
      </c>
      <c r="FD209" s="116">
        <v>44488</v>
      </c>
      <c r="FE209" s="116">
        <v>-4236</v>
      </c>
      <c r="FF209" s="3">
        <v>260595</v>
      </c>
      <c r="FG209" s="3">
        <v>177003</v>
      </c>
      <c r="FH209" s="3">
        <v>83592</v>
      </c>
      <c r="FI209" s="3">
        <v>83</v>
      </c>
      <c r="FJ209" s="125">
        <v>271456</v>
      </c>
      <c r="FK209" s="160">
        <v>180647</v>
      </c>
      <c r="FL209" s="125">
        <v>90809</v>
      </c>
      <c r="FM209" s="116">
        <v>81</v>
      </c>
      <c r="FN209" s="125">
        <v>281866</v>
      </c>
      <c r="FO209" s="116">
        <v>190388</v>
      </c>
      <c r="FP209" s="116">
        <v>91478</v>
      </c>
      <c r="FQ209" s="116">
        <v>-2496</v>
      </c>
      <c r="FR209" s="153">
        <v>5897</v>
      </c>
      <c r="FS209" s="153">
        <v>5796</v>
      </c>
      <c r="FT209" s="276">
        <v>5715</v>
      </c>
      <c r="FU209" s="3">
        <v>4325</v>
      </c>
      <c r="FV209" s="159">
        <v>3392</v>
      </c>
      <c r="FW209" s="170"/>
      <c r="FZ209" s="155"/>
      <c r="GA209" s="2"/>
      <c r="GD209" s="163"/>
      <c r="GE209" s="2"/>
      <c r="GF209" s="2"/>
    </row>
    <row r="210" spans="1:188" ht="14.5" x14ac:dyDescent="0.35">
      <c r="A210" s="154">
        <v>710</v>
      </c>
      <c r="B210" s="76" t="s">
        <v>358</v>
      </c>
      <c r="C210" s="158">
        <v>27592</v>
      </c>
      <c r="D210" s="171"/>
      <c r="E210" s="128">
        <v>0.93870200475705068</v>
      </c>
      <c r="F210" s="128">
        <v>64.628882475537566</v>
      </c>
      <c r="G210" s="129">
        <v>-5487.0252247028129</v>
      </c>
      <c r="H210" s="216"/>
      <c r="I210" s="172"/>
      <c r="J210" s="218"/>
      <c r="K210" s="128">
        <v>26.023346870095619</v>
      </c>
      <c r="L210" s="129">
        <v>530.0811829515801</v>
      </c>
      <c r="M210" s="129">
        <v>17.970115391347669</v>
      </c>
      <c r="N210" s="129">
        <v>10766.74398376341</v>
      </c>
      <c r="O210" s="129"/>
      <c r="P210" s="117">
        <v>110089</v>
      </c>
      <c r="Q210" s="161">
        <v>263215</v>
      </c>
      <c r="R210" s="161">
        <v>-15</v>
      </c>
      <c r="S210" s="161">
        <v>-153141</v>
      </c>
      <c r="T210" s="124">
        <v>112871</v>
      </c>
      <c r="U210" s="124">
        <v>53893</v>
      </c>
      <c r="V210" s="136"/>
      <c r="X210" s="116">
        <v>-1718</v>
      </c>
      <c r="Y210" s="116">
        <v>162</v>
      </c>
      <c r="Z210" s="161">
        <v>12067</v>
      </c>
      <c r="AA210" s="116">
        <v>12794</v>
      </c>
      <c r="AB210" s="116">
        <v>0</v>
      </c>
      <c r="AD210" s="161">
        <v>-727</v>
      </c>
      <c r="AE210" s="116">
        <v>-2</v>
      </c>
      <c r="AF210" s="116">
        <v>0</v>
      </c>
      <c r="AG210" s="116">
        <v>-45</v>
      </c>
      <c r="AH210" s="116">
        <v>-105</v>
      </c>
      <c r="AI210" s="160">
        <v>-879</v>
      </c>
      <c r="AJ210" s="161">
        <v>-9643</v>
      </c>
      <c r="AK210" s="161">
        <v>9813</v>
      </c>
      <c r="AL210" s="150"/>
      <c r="AM210" s="161">
        <v>1022</v>
      </c>
      <c r="AN210" s="161">
        <v>-12969</v>
      </c>
      <c r="AO210" s="160">
        <v>-5008</v>
      </c>
      <c r="AQ210" s="160"/>
      <c r="AR210" s="117"/>
      <c r="AS210" s="117"/>
      <c r="AT210" s="99">
        <v>22</v>
      </c>
      <c r="AU210" s="130"/>
      <c r="AV210" s="262">
        <v>165</v>
      </c>
      <c r="AW210" s="267">
        <v>27536</v>
      </c>
      <c r="AX210" s="124"/>
      <c r="AY210" s="255">
        <v>0.71779096169340073</v>
      </c>
      <c r="AZ210" s="259">
        <v>67.786753621864364</v>
      </c>
      <c r="BA210" s="160">
        <v>-6061.9552585705987</v>
      </c>
      <c r="BB210" s="130"/>
      <c r="BC210" s="130"/>
      <c r="BD210" s="130"/>
      <c r="BE210" s="128">
        <v>23.582750500825924</v>
      </c>
      <c r="BF210" s="160">
        <v>437.42736780941317</v>
      </c>
      <c r="BG210" s="129">
        <v>17.055061259045093</v>
      </c>
      <c r="BH210" s="131">
        <v>11367.482568274259</v>
      </c>
      <c r="BI210" s="124"/>
      <c r="BJ210" s="117">
        <v>116060</v>
      </c>
      <c r="BK210" s="117">
        <v>275076</v>
      </c>
      <c r="BL210" s="161">
        <v>18</v>
      </c>
      <c r="BM210" s="161">
        <v>-158998</v>
      </c>
      <c r="BN210" s="117">
        <v>114031</v>
      </c>
      <c r="BO210" s="117">
        <v>54500</v>
      </c>
      <c r="BP210" s="136"/>
      <c r="BR210" s="160">
        <v>-1440</v>
      </c>
      <c r="BS210" s="160">
        <v>214</v>
      </c>
      <c r="BT210" s="161">
        <v>8307</v>
      </c>
      <c r="BU210" s="125">
        <v>12963</v>
      </c>
      <c r="BV210" s="160">
        <v>0</v>
      </c>
      <c r="BX210" s="161">
        <v>-4656</v>
      </c>
      <c r="BY210" s="160">
        <v>-1</v>
      </c>
      <c r="BZ210" s="160">
        <v>10</v>
      </c>
      <c r="CA210" s="160">
        <v>108</v>
      </c>
      <c r="CB210" s="160">
        <v>-55</v>
      </c>
      <c r="CC210" s="160">
        <v>-4810</v>
      </c>
      <c r="CD210" s="160">
        <v>-14462</v>
      </c>
      <c r="CE210" s="116">
        <v>6755</v>
      </c>
      <c r="CF210" s="150"/>
      <c r="CG210" s="161">
        <v>921</v>
      </c>
      <c r="CH210" s="160">
        <v>-12160</v>
      </c>
      <c r="CI210" s="159">
        <v>-14764</v>
      </c>
      <c r="CK210" s="124"/>
      <c r="CL210" s="161"/>
      <c r="CM210" s="124"/>
      <c r="CN210" s="265">
        <v>22</v>
      </c>
      <c r="CO210" s="130"/>
      <c r="CP210" s="116">
        <v>210</v>
      </c>
      <c r="CQ210" s="267">
        <v>27528</v>
      </c>
      <c r="CR210" s="124"/>
      <c r="CS210" s="268">
        <v>1.7558559764422434</v>
      </c>
      <c r="CT210" s="269">
        <v>61.429764609149792</v>
      </c>
      <c r="CU210" s="160">
        <v>-5854.1485033420522</v>
      </c>
      <c r="CV210" s="130"/>
      <c r="CW210" s="130"/>
      <c r="CX210" s="130"/>
      <c r="CY210" s="269">
        <v>27.028681357117872</v>
      </c>
      <c r="CZ210" s="125">
        <v>583.66027317640226</v>
      </c>
      <c r="DA210" s="125">
        <v>18.239726176517241</v>
      </c>
      <c r="DB210" s="273">
        <v>11679.780587038651</v>
      </c>
      <c r="DC210" s="124"/>
      <c r="DD210" s="117">
        <v>120770</v>
      </c>
      <c r="DE210" s="117">
        <v>281698</v>
      </c>
      <c r="DF210" s="117">
        <v>-6</v>
      </c>
      <c r="DG210" s="117">
        <v>-160934</v>
      </c>
      <c r="DH210" s="117">
        <v>117232</v>
      </c>
      <c r="DI210" s="117">
        <v>69699</v>
      </c>
      <c r="DJ210" s="136"/>
      <c r="DL210" s="160">
        <v>-893</v>
      </c>
      <c r="DM210" s="160">
        <v>197</v>
      </c>
      <c r="DN210" s="161">
        <v>25301</v>
      </c>
      <c r="DO210" s="116">
        <v>13602</v>
      </c>
      <c r="DP210" s="160">
        <v>0</v>
      </c>
      <c r="DR210" s="161">
        <v>11699</v>
      </c>
      <c r="DS210" s="116">
        <v>7</v>
      </c>
      <c r="DT210" s="116">
        <v>11</v>
      </c>
      <c r="DU210" s="116">
        <v>74</v>
      </c>
      <c r="DV210" s="116">
        <v>-49</v>
      </c>
      <c r="DW210" s="160">
        <v>11594</v>
      </c>
      <c r="DX210" s="160">
        <v>-2908</v>
      </c>
      <c r="DY210" s="116">
        <v>24146</v>
      </c>
      <c r="DZ210" s="150"/>
      <c r="EA210" s="117">
        <v>4427</v>
      </c>
      <c r="EB210" s="116">
        <v>-14007</v>
      </c>
      <c r="EC210" s="159">
        <v>2621</v>
      </c>
      <c r="EE210" s="125"/>
      <c r="EF210" s="161"/>
      <c r="EG210" s="124"/>
      <c r="EH210" s="253">
        <v>22</v>
      </c>
      <c r="EI210" s="130"/>
      <c r="EJ210" s="125">
        <v>179</v>
      </c>
      <c r="EK210" s="116"/>
      <c r="EL210" s="159"/>
      <c r="EN210" s="116"/>
      <c r="EO210" s="116"/>
      <c r="EP210" s="159"/>
      <c r="EQ210" s="159">
        <v>-18821</v>
      </c>
      <c r="ER210" s="116">
        <v>1051</v>
      </c>
      <c r="ES210" s="116">
        <v>2949</v>
      </c>
      <c r="ET210" s="160">
        <v>-24003</v>
      </c>
      <c r="EU210" s="116">
        <v>731</v>
      </c>
      <c r="EV210" s="116">
        <v>1753</v>
      </c>
      <c r="EW210" s="160">
        <v>-24451</v>
      </c>
      <c r="EX210" s="160">
        <v>566</v>
      </c>
      <c r="EY210" s="160">
        <v>2360</v>
      </c>
      <c r="EZ210" s="116">
        <v>14225</v>
      </c>
      <c r="FA210" s="116">
        <v>-4609</v>
      </c>
      <c r="FB210" s="116">
        <v>19904</v>
      </c>
      <c r="FC210" s="160">
        <v>5220</v>
      </c>
      <c r="FD210" s="116">
        <v>16860</v>
      </c>
      <c r="FE210" s="116">
        <v>-4932</v>
      </c>
      <c r="FF210" s="3">
        <v>128230</v>
      </c>
      <c r="FG210" s="3">
        <v>75027</v>
      </c>
      <c r="FH210" s="3">
        <v>53203</v>
      </c>
      <c r="FI210" s="3">
        <v>480</v>
      </c>
      <c r="FJ210" s="125">
        <v>143047</v>
      </c>
      <c r="FK210" s="160">
        <v>82624</v>
      </c>
      <c r="FL210" s="125">
        <v>60423</v>
      </c>
      <c r="FM210" s="116">
        <v>450</v>
      </c>
      <c r="FN210" s="125">
        <v>138378</v>
      </c>
      <c r="FO210" s="116">
        <v>81275</v>
      </c>
      <c r="FP210" s="116">
        <v>57103</v>
      </c>
      <c r="FQ210" s="116">
        <v>4427</v>
      </c>
      <c r="FR210" s="153">
        <v>6111</v>
      </c>
      <c r="FS210" s="153">
        <v>5807</v>
      </c>
      <c r="FT210" s="276">
        <v>6580</v>
      </c>
      <c r="FU210" s="3">
        <v>12333</v>
      </c>
      <c r="FV210" s="159">
        <v>15000</v>
      </c>
      <c r="FW210" s="170"/>
      <c r="FZ210" s="155"/>
      <c r="GA210" s="2"/>
      <c r="GD210" s="163"/>
      <c r="GE210" s="2"/>
      <c r="GF210" s="2"/>
    </row>
    <row r="211" spans="1:188" ht="14.5" x14ac:dyDescent="0.35">
      <c r="A211" s="72">
        <v>680</v>
      </c>
      <c r="B211" s="70" t="s">
        <v>202</v>
      </c>
      <c r="C211" s="158">
        <v>24178</v>
      </c>
      <c r="D211" s="171"/>
      <c r="E211" s="128">
        <v>0.54401863222528057</v>
      </c>
      <c r="F211" s="128">
        <v>54.786761675313471</v>
      </c>
      <c r="G211" s="129">
        <v>-4237.52998593763</v>
      </c>
      <c r="H211" s="216"/>
      <c r="I211" s="172"/>
      <c r="J211" s="218"/>
      <c r="K211" s="128">
        <v>46.852500009798582</v>
      </c>
      <c r="L211" s="129">
        <v>560.0959550004136</v>
      </c>
      <c r="M211" s="129">
        <v>18.922965605953877</v>
      </c>
      <c r="N211" s="129">
        <v>10803.54040863595</v>
      </c>
      <c r="O211" s="129"/>
      <c r="P211" s="117">
        <v>102320</v>
      </c>
      <c r="Q211" s="161">
        <v>223656</v>
      </c>
      <c r="R211" s="161">
        <v>11</v>
      </c>
      <c r="S211" s="161">
        <v>-121325</v>
      </c>
      <c r="T211" s="124">
        <v>99208</v>
      </c>
      <c r="U211" s="124">
        <v>33819</v>
      </c>
      <c r="V211" s="136"/>
      <c r="X211" s="116">
        <v>-1002</v>
      </c>
      <c r="Y211" s="116">
        <v>1053</v>
      </c>
      <c r="Z211" s="161">
        <v>11753</v>
      </c>
      <c r="AA211" s="116">
        <v>13376</v>
      </c>
      <c r="AB211" s="117">
        <v>0</v>
      </c>
      <c r="AD211" s="161">
        <v>-1623</v>
      </c>
      <c r="AE211" s="117">
        <v>-10</v>
      </c>
      <c r="AF211" s="117">
        <v>0</v>
      </c>
      <c r="AG211" s="116">
        <v>-106</v>
      </c>
      <c r="AH211" s="116">
        <v>-175</v>
      </c>
      <c r="AI211" s="160">
        <v>-1914</v>
      </c>
      <c r="AJ211" s="161">
        <v>16871</v>
      </c>
      <c r="AK211" s="161">
        <v>10465</v>
      </c>
      <c r="AL211" s="150"/>
      <c r="AM211" s="161">
        <v>518</v>
      </c>
      <c r="AN211" s="161">
        <v>-22521</v>
      </c>
      <c r="AO211" s="160">
        <v>-148</v>
      </c>
      <c r="AQ211" s="160"/>
      <c r="AR211" s="117"/>
      <c r="AS211" s="117"/>
      <c r="AT211" s="99">
        <v>19.75</v>
      </c>
      <c r="AU211" s="130"/>
      <c r="AV211" s="262">
        <v>149</v>
      </c>
      <c r="AW211" s="267">
        <v>24056</v>
      </c>
      <c r="AX211" s="124"/>
      <c r="AY211" s="255">
        <v>0.73132150810105201</v>
      </c>
      <c r="AZ211" s="259">
        <v>54.922499496204743</v>
      </c>
      <c r="BA211" s="160">
        <v>-4401.6461589624214</v>
      </c>
      <c r="BB211" s="130"/>
      <c r="BC211" s="130"/>
      <c r="BD211" s="130"/>
      <c r="BE211" s="128">
        <v>45.649488591660109</v>
      </c>
      <c r="BF211" s="160">
        <v>567.42600598603258</v>
      </c>
      <c r="BG211" s="129">
        <v>18.988828360903874</v>
      </c>
      <c r="BH211" s="131">
        <v>10820.668440305953</v>
      </c>
      <c r="BI211" s="124"/>
      <c r="BJ211" s="117">
        <v>103476</v>
      </c>
      <c r="BK211" s="117">
        <v>230918</v>
      </c>
      <c r="BL211" s="161">
        <v>49</v>
      </c>
      <c r="BM211" s="161">
        <v>-127393</v>
      </c>
      <c r="BN211" s="117">
        <v>99100</v>
      </c>
      <c r="BO211" s="117">
        <v>35616</v>
      </c>
      <c r="BP211" s="136"/>
      <c r="BR211" s="160">
        <v>-823</v>
      </c>
      <c r="BS211" s="160">
        <v>2098</v>
      </c>
      <c r="BT211" s="161">
        <v>8598</v>
      </c>
      <c r="BU211" s="125">
        <v>13672</v>
      </c>
      <c r="BV211" s="161">
        <v>1633</v>
      </c>
      <c r="BW211" s="117"/>
      <c r="BX211" s="161">
        <v>-3441</v>
      </c>
      <c r="BY211" s="161">
        <v>-2</v>
      </c>
      <c r="BZ211" s="161">
        <v>0</v>
      </c>
      <c r="CA211" s="160">
        <v>146</v>
      </c>
      <c r="CB211" s="160">
        <v>-201</v>
      </c>
      <c r="CC211" s="160">
        <v>-3790</v>
      </c>
      <c r="CD211" s="160">
        <v>13087</v>
      </c>
      <c r="CE211" s="116">
        <v>8770</v>
      </c>
      <c r="CF211" s="150"/>
      <c r="CG211" s="161">
        <v>1657</v>
      </c>
      <c r="CH211" s="160">
        <v>-12097</v>
      </c>
      <c r="CI211" s="159">
        <v>-3107</v>
      </c>
      <c r="CK211" s="124"/>
      <c r="CL211" s="161"/>
      <c r="CM211" s="124"/>
      <c r="CN211" s="265">
        <v>19.75</v>
      </c>
      <c r="CO211" s="130"/>
      <c r="CP211" s="116">
        <v>180</v>
      </c>
      <c r="CQ211" s="267">
        <v>24407</v>
      </c>
      <c r="CR211" s="124"/>
      <c r="CS211" s="268">
        <v>2.0649362645483098</v>
      </c>
      <c r="CT211" s="269">
        <v>48.115111095316507</v>
      </c>
      <c r="CU211" s="160">
        <v>-3808.4156184701114</v>
      </c>
      <c r="CV211" s="130"/>
      <c r="CW211" s="130"/>
      <c r="CX211" s="130"/>
      <c r="CY211" s="269">
        <v>48.964186011910591</v>
      </c>
      <c r="CZ211" s="125">
        <v>733.56004424960054</v>
      </c>
      <c r="DA211" s="125">
        <v>25.301940924349253</v>
      </c>
      <c r="DB211" s="273">
        <v>10582.169049862743</v>
      </c>
      <c r="DC211" s="124"/>
      <c r="DD211" s="117">
        <v>102384</v>
      </c>
      <c r="DE211" s="117">
        <v>232371</v>
      </c>
      <c r="DF211" s="117">
        <v>63</v>
      </c>
      <c r="DG211" s="117">
        <v>-129924</v>
      </c>
      <c r="DH211" s="117">
        <v>103343</v>
      </c>
      <c r="DI211" s="117">
        <v>47524</v>
      </c>
      <c r="DJ211" s="136"/>
      <c r="DL211" s="160">
        <v>-435</v>
      </c>
      <c r="DM211" s="160">
        <v>1106</v>
      </c>
      <c r="DN211" s="161">
        <v>21614</v>
      </c>
      <c r="DO211" s="116">
        <v>14059</v>
      </c>
      <c r="DP211" s="161">
        <v>1636</v>
      </c>
      <c r="DQ211" s="117"/>
      <c r="DR211" s="161">
        <v>9191</v>
      </c>
      <c r="DS211" s="117">
        <v>-17</v>
      </c>
      <c r="DT211" s="117">
        <v>0</v>
      </c>
      <c r="DU211" s="116">
        <v>194</v>
      </c>
      <c r="DV211" s="116">
        <v>7</v>
      </c>
      <c r="DW211" s="160">
        <v>8987</v>
      </c>
      <c r="DX211" s="160">
        <v>22074</v>
      </c>
      <c r="DY211" s="116">
        <v>20393</v>
      </c>
      <c r="DZ211" s="150"/>
      <c r="EA211" s="117">
        <v>289</v>
      </c>
      <c r="EB211" s="116">
        <v>-10085</v>
      </c>
      <c r="EC211" s="159">
        <v>10290</v>
      </c>
      <c r="EE211" s="125"/>
      <c r="EF211" s="161"/>
      <c r="EG211" s="124"/>
      <c r="EH211" s="253">
        <v>19.75</v>
      </c>
      <c r="EI211" s="130"/>
      <c r="EJ211" s="125">
        <v>196</v>
      </c>
      <c r="EK211" s="116"/>
      <c r="EL211" s="159"/>
      <c r="EN211" s="116"/>
      <c r="EO211" s="116"/>
      <c r="EP211" s="159"/>
      <c r="EQ211" s="159">
        <v>-13894</v>
      </c>
      <c r="ER211" s="116">
        <v>368</v>
      </c>
      <c r="ES211" s="116">
        <v>2913</v>
      </c>
      <c r="ET211" s="160">
        <v>-16322</v>
      </c>
      <c r="EU211" s="116">
        <v>226</v>
      </c>
      <c r="EV211" s="116">
        <v>4219</v>
      </c>
      <c r="EW211" s="160">
        <v>-15041</v>
      </c>
      <c r="EX211" s="160">
        <v>281</v>
      </c>
      <c r="EY211" s="160">
        <v>4657</v>
      </c>
      <c r="EZ211" s="116">
        <v>8447</v>
      </c>
      <c r="FA211" s="116">
        <v>12459</v>
      </c>
      <c r="FB211" s="116">
        <v>6082</v>
      </c>
      <c r="FC211" s="160">
        <v>6161</v>
      </c>
      <c r="FD211" s="116">
        <v>20048</v>
      </c>
      <c r="FE211" s="116">
        <v>-18502</v>
      </c>
      <c r="FF211" s="3">
        <v>86725</v>
      </c>
      <c r="FG211" s="3">
        <v>46293</v>
      </c>
      <c r="FH211" s="3">
        <v>40432</v>
      </c>
      <c r="FI211" s="3">
        <v>2700</v>
      </c>
      <c r="FJ211" s="125">
        <v>86871</v>
      </c>
      <c r="FK211" s="160">
        <v>46782</v>
      </c>
      <c r="FL211" s="125">
        <v>40089</v>
      </c>
      <c r="FM211" s="116">
        <v>2700</v>
      </c>
      <c r="FN211" s="125">
        <v>78333</v>
      </c>
      <c r="FO211" s="116">
        <v>49710</v>
      </c>
      <c r="FP211" s="116">
        <v>28623</v>
      </c>
      <c r="FQ211" s="116">
        <v>289</v>
      </c>
      <c r="FR211" s="153">
        <v>25610</v>
      </c>
      <c r="FS211" s="153">
        <v>28113</v>
      </c>
      <c r="FT211" s="276">
        <v>30165</v>
      </c>
      <c r="FU211" s="3">
        <v>30667</v>
      </c>
      <c r="FV211" s="159">
        <v>34634</v>
      </c>
      <c r="FW211" s="170"/>
      <c r="FZ211" s="155"/>
      <c r="GA211" s="2"/>
      <c r="GD211" s="163"/>
      <c r="GE211" s="2"/>
      <c r="GF211" s="2"/>
    </row>
    <row r="212" spans="1:188" ht="14.5" x14ac:dyDescent="0.35">
      <c r="A212" s="72">
        <v>681</v>
      </c>
      <c r="B212" s="70" t="s">
        <v>203</v>
      </c>
      <c r="C212" s="158">
        <v>3514</v>
      </c>
      <c r="D212" s="171"/>
      <c r="E212" s="128">
        <v>0.54711055276381915</v>
      </c>
      <c r="F212" s="128">
        <v>38.676731793960926</v>
      </c>
      <c r="G212" s="129">
        <v>-3583.9499146272055</v>
      </c>
      <c r="H212" s="216"/>
      <c r="I212" s="172"/>
      <c r="J212" s="218"/>
      <c r="K212" s="128">
        <v>52.494783213540458</v>
      </c>
      <c r="L212" s="129">
        <v>623.22140011383044</v>
      </c>
      <c r="M212" s="129">
        <v>15.90303199108706</v>
      </c>
      <c r="N212" s="129">
        <v>14303.927148548662</v>
      </c>
      <c r="O212" s="129"/>
      <c r="P212" s="117">
        <v>23810</v>
      </c>
      <c r="Q212" s="161">
        <v>46824</v>
      </c>
      <c r="R212" s="161">
        <v>117</v>
      </c>
      <c r="S212" s="161">
        <v>-22897</v>
      </c>
      <c r="T212" s="124">
        <v>10673</v>
      </c>
      <c r="U212" s="124">
        <v>12809</v>
      </c>
      <c r="V212" s="136"/>
      <c r="X212" s="116">
        <v>-133</v>
      </c>
      <c r="Y212" s="116">
        <v>282</v>
      </c>
      <c r="Z212" s="161">
        <v>734</v>
      </c>
      <c r="AA212" s="116">
        <v>2418</v>
      </c>
      <c r="AB212" s="117">
        <v>0</v>
      </c>
      <c r="AD212" s="161">
        <v>-1684</v>
      </c>
      <c r="AE212" s="117">
        <v>0</v>
      </c>
      <c r="AF212" s="117">
        <v>-17</v>
      </c>
      <c r="AG212" s="116">
        <v>0</v>
      </c>
      <c r="AH212" s="117">
        <v>3</v>
      </c>
      <c r="AI212" s="160">
        <v>-1699</v>
      </c>
      <c r="AJ212" s="161">
        <v>-2950</v>
      </c>
      <c r="AK212" s="161">
        <v>696</v>
      </c>
      <c r="AL212" s="150"/>
      <c r="AM212" s="161">
        <v>528</v>
      </c>
      <c r="AN212" s="161">
        <v>-1455</v>
      </c>
      <c r="AO212" s="160">
        <v>-849</v>
      </c>
      <c r="AQ212" s="160"/>
      <c r="AR212" s="117"/>
      <c r="AS212" s="117"/>
      <c r="AT212" s="99">
        <v>21</v>
      </c>
      <c r="AU212" s="130"/>
      <c r="AV212" s="262">
        <v>249</v>
      </c>
      <c r="AW212" s="267">
        <v>3431</v>
      </c>
      <c r="AX212" s="124"/>
      <c r="AY212" s="255">
        <v>1.6509229098805647</v>
      </c>
      <c r="AZ212" s="259">
        <v>35.494670254061489</v>
      </c>
      <c r="BA212" s="160">
        <v>-3363.1594287379771</v>
      </c>
      <c r="BB212" s="130"/>
      <c r="BC212" s="130"/>
      <c r="BD212" s="130"/>
      <c r="BE212" s="128">
        <v>54.557501183151913</v>
      </c>
      <c r="BF212" s="160">
        <v>906.73273098222091</v>
      </c>
      <c r="BG212" s="129">
        <v>16.115927419354836</v>
      </c>
      <c r="BH212" s="131">
        <v>14456.426697755756</v>
      </c>
      <c r="BI212" s="124"/>
      <c r="BJ212" s="117">
        <v>24778</v>
      </c>
      <c r="BK212" s="117">
        <v>46110</v>
      </c>
      <c r="BL212" s="161">
        <v>73</v>
      </c>
      <c r="BM212" s="161">
        <v>-21259</v>
      </c>
      <c r="BN212" s="117">
        <v>11514</v>
      </c>
      <c r="BO212" s="117">
        <v>12397</v>
      </c>
      <c r="BP212" s="136"/>
      <c r="BR212" s="160">
        <v>-130</v>
      </c>
      <c r="BS212" s="160">
        <v>376</v>
      </c>
      <c r="BT212" s="161">
        <v>2898</v>
      </c>
      <c r="BU212" s="125">
        <v>1592</v>
      </c>
      <c r="BV212" s="161">
        <v>0</v>
      </c>
      <c r="BW212" s="117"/>
      <c r="BX212" s="161">
        <v>1306</v>
      </c>
      <c r="BY212" s="161">
        <v>0</v>
      </c>
      <c r="BZ212" s="160">
        <v>9</v>
      </c>
      <c r="CA212" s="161">
        <v>0</v>
      </c>
      <c r="CB212" s="161">
        <v>-13</v>
      </c>
      <c r="CC212" s="160">
        <v>1302</v>
      </c>
      <c r="CD212" s="160">
        <v>-1862</v>
      </c>
      <c r="CE212" s="116">
        <v>1043</v>
      </c>
      <c r="CF212" s="150"/>
      <c r="CG212" s="161">
        <v>950</v>
      </c>
      <c r="CH212" s="160">
        <v>-1699</v>
      </c>
      <c r="CI212" s="159">
        <v>1010</v>
      </c>
      <c r="CK212" s="124"/>
      <c r="CL212" s="161"/>
      <c r="CM212" s="124"/>
      <c r="CN212" s="265">
        <v>21.5</v>
      </c>
      <c r="CO212" s="130"/>
      <c r="CP212" s="116">
        <v>34</v>
      </c>
      <c r="CQ212" s="267">
        <v>3364</v>
      </c>
      <c r="CR212" s="124"/>
      <c r="CS212" s="268">
        <v>2.2522875816993464</v>
      </c>
      <c r="CT212" s="269">
        <v>32.780537252914343</v>
      </c>
      <c r="CU212" s="160">
        <v>-2768.7277051129608</v>
      </c>
      <c r="CV212" s="130"/>
      <c r="CW212" s="130"/>
      <c r="CX212" s="130"/>
      <c r="CY212" s="269">
        <v>57.738940987022829</v>
      </c>
      <c r="CZ212" s="125">
        <v>1167.3602853745542</v>
      </c>
      <c r="DA212" s="125">
        <v>28.87441832356318</v>
      </c>
      <c r="DB212" s="273">
        <v>14756.539833531511</v>
      </c>
      <c r="DC212" s="124"/>
      <c r="DD212" s="117">
        <v>24084</v>
      </c>
      <c r="DE212" s="117">
        <v>46304</v>
      </c>
      <c r="DF212" s="117">
        <v>46</v>
      </c>
      <c r="DG212" s="117">
        <v>-22174</v>
      </c>
      <c r="DH212" s="117">
        <v>12108</v>
      </c>
      <c r="DI212" s="117">
        <v>13133</v>
      </c>
      <c r="DJ212" s="136"/>
      <c r="DL212" s="160">
        <v>-97</v>
      </c>
      <c r="DM212" s="160">
        <v>365</v>
      </c>
      <c r="DN212" s="161">
        <v>3335</v>
      </c>
      <c r="DO212" s="116">
        <v>2149</v>
      </c>
      <c r="DP212" s="161">
        <v>10</v>
      </c>
      <c r="DQ212" s="117"/>
      <c r="DR212" s="161">
        <v>1196</v>
      </c>
      <c r="DS212" s="117">
        <v>0</v>
      </c>
      <c r="DT212" s="116">
        <v>0</v>
      </c>
      <c r="DU212" s="117">
        <v>1</v>
      </c>
      <c r="DV212" s="117">
        <v>0</v>
      </c>
      <c r="DW212" s="160">
        <v>1195</v>
      </c>
      <c r="DX212" s="160">
        <v>-520</v>
      </c>
      <c r="DY212" s="116">
        <v>2595</v>
      </c>
      <c r="DZ212" s="150"/>
      <c r="EA212" s="117">
        <v>-296</v>
      </c>
      <c r="EB212" s="116">
        <v>-1419</v>
      </c>
      <c r="EC212" s="159">
        <v>2130</v>
      </c>
      <c r="EE212" s="125"/>
      <c r="EF212" s="161"/>
      <c r="EG212" s="124"/>
      <c r="EH212" s="253">
        <v>22</v>
      </c>
      <c r="EI212" s="130"/>
      <c r="EJ212" s="125">
        <v>135</v>
      </c>
      <c r="EK212" s="116"/>
      <c r="EL212" s="159"/>
      <c r="EN212" s="116"/>
      <c r="EO212" s="116"/>
      <c r="EP212" s="159"/>
      <c r="EQ212" s="159">
        <v>-1815</v>
      </c>
      <c r="ER212" s="116">
        <v>82</v>
      </c>
      <c r="ES212" s="116">
        <v>188</v>
      </c>
      <c r="ET212" s="160">
        <v>-1619</v>
      </c>
      <c r="EU212" s="116">
        <v>21</v>
      </c>
      <c r="EV212" s="116">
        <v>1565</v>
      </c>
      <c r="EW212" s="160">
        <v>-1790</v>
      </c>
      <c r="EX212" s="160">
        <v>172</v>
      </c>
      <c r="EY212" s="160">
        <v>1153</v>
      </c>
      <c r="EZ212" s="116">
        <v>1017</v>
      </c>
      <c r="FA212" s="116">
        <v>1056</v>
      </c>
      <c r="FB212" s="116">
        <v>2832</v>
      </c>
      <c r="FC212" s="160">
        <v>-1526</v>
      </c>
      <c r="FD212" s="116">
        <v>811</v>
      </c>
      <c r="FE212" s="116">
        <v>-1041</v>
      </c>
      <c r="FF212" s="3">
        <v>12768</v>
      </c>
      <c r="FG212" s="3">
        <v>7718</v>
      </c>
      <c r="FH212" s="3">
        <v>5050</v>
      </c>
      <c r="FI212" s="3">
        <v>0</v>
      </c>
      <c r="FJ212" s="125">
        <v>12410</v>
      </c>
      <c r="FK212" s="160">
        <v>8934</v>
      </c>
      <c r="FL212" s="125">
        <v>3476</v>
      </c>
      <c r="FM212" s="116">
        <v>0</v>
      </c>
      <c r="FN212" s="125">
        <v>10761</v>
      </c>
      <c r="FO212" s="116">
        <v>8309</v>
      </c>
      <c r="FP212" s="116">
        <v>2452</v>
      </c>
      <c r="FQ212" s="116">
        <v>-296</v>
      </c>
      <c r="FR212" s="153">
        <v>180</v>
      </c>
      <c r="FS212" s="153">
        <v>139</v>
      </c>
      <c r="FT212" s="276">
        <v>0</v>
      </c>
      <c r="FU212" s="3">
        <v>9037</v>
      </c>
      <c r="FV212" s="159">
        <v>757</v>
      </c>
      <c r="FW212" s="170"/>
      <c r="FZ212" s="155"/>
      <c r="GA212" s="2"/>
      <c r="GD212" s="163"/>
      <c r="GE212" s="2"/>
      <c r="GF212" s="2"/>
    </row>
    <row r="213" spans="1:188" ht="14.5" x14ac:dyDescent="0.35">
      <c r="A213" s="72">
        <v>683</v>
      </c>
      <c r="B213" s="70" t="s">
        <v>204</v>
      </c>
      <c r="C213" s="158">
        <v>3896</v>
      </c>
      <c r="D213" s="171"/>
      <c r="E213" s="128">
        <v>5.2063492063492065</v>
      </c>
      <c r="F213" s="128">
        <v>49.726786217256596</v>
      </c>
      <c r="G213" s="129">
        <v>-1926.334702258727</v>
      </c>
      <c r="H213" s="216"/>
      <c r="I213" s="172"/>
      <c r="J213" s="218"/>
      <c r="K213" s="128">
        <v>56.323993527819162</v>
      </c>
      <c r="L213" s="129">
        <v>3652.4640657084187</v>
      </c>
      <c r="M213" s="129">
        <v>98.047155208215358</v>
      </c>
      <c r="N213" s="129">
        <v>13597.022587268993</v>
      </c>
      <c r="O213" s="129"/>
      <c r="P213" s="117">
        <v>21021</v>
      </c>
      <c r="Q213" s="161">
        <v>49720</v>
      </c>
      <c r="R213" s="161">
        <v>0</v>
      </c>
      <c r="S213" s="161">
        <v>-28699</v>
      </c>
      <c r="T213" s="124">
        <v>9287</v>
      </c>
      <c r="U213" s="124">
        <v>22947</v>
      </c>
      <c r="V213" s="136"/>
      <c r="X213" s="116">
        <v>-240</v>
      </c>
      <c r="Y213" s="116">
        <v>37</v>
      </c>
      <c r="Z213" s="161">
        <v>3332</v>
      </c>
      <c r="AA213" s="116">
        <v>9168</v>
      </c>
      <c r="AB213" s="116">
        <v>0</v>
      </c>
      <c r="AD213" s="161">
        <v>-5836</v>
      </c>
      <c r="AE213" s="116">
        <v>0</v>
      </c>
      <c r="AF213" s="116">
        <v>-94</v>
      </c>
      <c r="AG213" s="116">
        <v>-53</v>
      </c>
      <c r="AH213" s="116">
        <v>-9</v>
      </c>
      <c r="AI213" s="160">
        <v>-5992</v>
      </c>
      <c r="AJ213" s="161">
        <v>19428</v>
      </c>
      <c r="AK213" s="161">
        <v>3400</v>
      </c>
      <c r="AL213" s="150"/>
      <c r="AM213" s="161">
        <v>231</v>
      </c>
      <c r="AN213" s="161">
        <v>-417</v>
      </c>
      <c r="AO213" s="160">
        <v>32</v>
      </c>
      <c r="AQ213" s="160"/>
      <c r="AR213" s="117"/>
      <c r="AS213" s="117"/>
      <c r="AT213" s="99">
        <v>19.75</v>
      </c>
      <c r="AU213" s="130"/>
      <c r="AV213" s="262">
        <v>39</v>
      </c>
      <c r="AW213" s="267">
        <v>3783</v>
      </c>
      <c r="AX213" s="124"/>
      <c r="AY213" s="255">
        <v>2.2920611798980337</v>
      </c>
      <c r="AZ213" s="259">
        <v>45.729370073045487</v>
      </c>
      <c r="BA213" s="160">
        <v>-2019.0325138778746</v>
      </c>
      <c r="BB213" s="130"/>
      <c r="BC213" s="130"/>
      <c r="BD213" s="130"/>
      <c r="BE213" s="128">
        <v>56.519927324854564</v>
      </c>
      <c r="BF213" s="160">
        <v>3640.4969600845889</v>
      </c>
      <c r="BG213" s="129">
        <v>92.171390037443871</v>
      </c>
      <c r="BH213" s="131">
        <v>14895.849854612741</v>
      </c>
      <c r="BI213" s="124"/>
      <c r="BJ213" s="117">
        <v>22421</v>
      </c>
      <c r="BK213" s="117">
        <v>52499</v>
      </c>
      <c r="BL213" s="161">
        <v>0</v>
      </c>
      <c r="BM213" s="161">
        <v>-30078</v>
      </c>
      <c r="BN213" s="117">
        <v>9762</v>
      </c>
      <c r="BO213" s="117">
        <v>23125</v>
      </c>
      <c r="BP213" s="136"/>
      <c r="BR213" s="160">
        <v>-200</v>
      </c>
      <c r="BS213" s="160">
        <v>283</v>
      </c>
      <c r="BT213" s="161">
        <v>2892</v>
      </c>
      <c r="BU213" s="125">
        <v>3991</v>
      </c>
      <c r="BV213" s="160">
        <v>0</v>
      </c>
      <c r="BX213" s="161">
        <v>-1099</v>
      </c>
      <c r="BY213" s="160">
        <v>-3</v>
      </c>
      <c r="BZ213" s="160">
        <v>-41</v>
      </c>
      <c r="CA213" s="160">
        <v>46</v>
      </c>
      <c r="CB213" s="160">
        <v>6</v>
      </c>
      <c r="CC213" s="160">
        <v>-1183</v>
      </c>
      <c r="CD213" s="160">
        <v>18095</v>
      </c>
      <c r="CE213" s="116">
        <v>2962</v>
      </c>
      <c r="CF213" s="150"/>
      <c r="CG213" s="160">
        <v>866</v>
      </c>
      <c r="CH213" s="160">
        <v>-1118</v>
      </c>
      <c r="CI213" s="159">
        <v>142</v>
      </c>
      <c r="CK213" s="124"/>
      <c r="CL213" s="161"/>
      <c r="CM213" s="124"/>
      <c r="CN213" s="265">
        <v>19.75</v>
      </c>
      <c r="CO213" s="130"/>
      <c r="CP213" s="116">
        <v>46</v>
      </c>
      <c r="CQ213" s="267">
        <v>3712</v>
      </c>
      <c r="CR213" s="124"/>
      <c r="CS213" s="268">
        <v>2.9157733537519142</v>
      </c>
      <c r="CT213" s="269">
        <v>45.392749244712988</v>
      </c>
      <c r="CU213" s="160">
        <v>-2082.9741379310349</v>
      </c>
      <c r="CV213" s="130"/>
      <c r="CW213" s="130"/>
      <c r="CX213" s="130"/>
      <c r="CY213" s="269">
        <v>57.196132140853436</v>
      </c>
      <c r="CZ213" s="125">
        <v>3744.0732758620688</v>
      </c>
      <c r="DA213" s="125">
        <v>87.237441744484002</v>
      </c>
      <c r="DB213" s="273">
        <v>15665.140086206897</v>
      </c>
      <c r="DC213" s="124"/>
      <c r="DD213" s="117">
        <v>20751</v>
      </c>
      <c r="DE213" s="117">
        <v>51904</v>
      </c>
      <c r="DF213" s="117">
        <v>0</v>
      </c>
      <c r="DG213" s="117">
        <v>-31153</v>
      </c>
      <c r="DH213" s="117">
        <v>10177</v>
      </c>
      <c r="DI213" s="117">
        <v>24680</v>
      </c>
      <c r="DJ213" s="136"/>
      <c r="DL213" s="160">
        <v>-188</v>
      </c>
      <c r="DM213" s="160">
        <v>55</v>
      </c>
      <c r="DN213" s="161">
        <v>3571</v>
      </c>
      <c r="DO213" s="116">
        <v>2880</v>
      </c>
      <c r="DP213" s="160">
        <v>16</v>
      </c>
      <c r="DR213" s="161">
        <v>707</v>
      </c>
      <c r="DS213" s="116">
        <v>-1</v>
      </c>
      <c r="DT213" s="116">
        <v>-71</v>
      </c>
      <c r="DU213" s="116">
        <v>-11</v>
      </c>
      <c r="DV213" s="116">
        <v>-20</v>
      </c>
      <c r="DW213" s="160">
        <v>626</v>
      </c>
      <c r="DX213" s="160">
        <v>18777</v>
      </c>
      <c r="DY213" s="116">
        <v>3482</v>
      </c>
      <c r="DZ213" s="150"/>
      <c r="EA213" s="116">
        <v>269</v>
      </c>
      <c r="EB213" s="116">
        <v>-1069</v>
      </c>
      <c r="EC213" s="159">
        <v>89</v>
      </c>
      <c r="EE213" s="125"/>
      <c r="EF213" s="161"/>
      <c r="EG213" s="124"/>
      <c r="EH213" s="253">
        <v>19.75</v>
      </c>
      <c r="EI213" s="130"/>
      <c r="EJ213" s="125">
        <v>145</v>
      </c>
      <c r="EK213" s="116"/>
      <c r="EL213" s="159"/>
      <c r="EN213" s="116"/>
      <c r="EO213" s="116"/>
      <c r="EP213" s="159"/>
      <c r="EQ213" s="159">
        <v>-2464</v>
      </c>
      <c r="ER213" s="116">
        <v>-912</v>
      </c>
      <c r="ES213" s="116">
        <v>8</v>
      </c>
      <c r="ET213" s="160">
        <v>-2464</v>
      </c>
      <c r="EU213" s="116">
        <v>15</v>
      </c>
      <c r="EV213" s="116">
        <v>-371</v>
      </c>
      <c r="EW213" s="160">
        <v>-4878</v>
      </c>
      <c r="EX213" s="160">
        <v>177</v>
      </c>
      <c r="EY213" s="160">
        <v>1308</v>
      </c>
      <c r="EZ213" s="116">
        <v>1500</v>
      </c>
      <c r="FA213" s="116">
        <v>-616</v>
      </c>
      <c r="FB213" s="116">
        <v>1211</v>
      </c>
      <c r="FC213" s="160">
        <v>-560</v>
      </c>
      <c r="FD213" s="116">
        <v>1177</v>
      </c>
      <c r="FE213" s="116">
        <v>-135</v>
      </c>
      <c r="FF213" s="3">
        <v>17663</v>
      </c>
      <c r="FG213" s="3">
        <v>15669</v>
      </c>
      <c r="FH213" s="3">
        <v>1994</v>
      </c>
      <c r="FI213" s="3">
        <v>0</v>
      </c>
      <c r="FJ213" s="125">
        <v>17196</v>
      </c>
      <c r="FK213" s="160">
        <v>15551</v>
      </c>
      <c r="FL213" s="125">
        <v>1645</v>
      </c>
      <c r="FM213" s="116">
        <v>0</v>
      </c>
      <c r="FN213" s="125">
        <v>17168</v>
      </c>
      <c r="FO213" s="116">
        <v>15902</v>
      </c>
      <c r="FP213" s="116">
        <v>1266</v>
      </c>
      <c r="FQ213" s="116">
        <v>269</v>
      </c>
      <c r="FR213" s="153">
        <v>2364</v>
      </c>
      <c r="FS213" s="153">
        <v>2174</v>
      </c>
      <c r="FT213" s="276">
        <v>2236</v>
      </c>
      <c r="FU213" s="3">
        <v>8780</v>
      </c>
      <c r="FV213" s="159">
        <v>8632</v>
      </c>
      <c r="FW213" s="170"/>
      <c r="FZ213" s="155"/>
      <c r="GA213" s="2"/>
      <c r="GD213" s="163"/>
      <c r="GE213" s="2"/>
      <c r="GF213" s="2"/>
    </row>
    <row r="214" spans="1:188" ht="14.5" x14ac:dyDescent="0.35">
      <c r="A214" s="72">
        <v>684</v>
      </c>
      <c r="B214" s="70" t="s">
        <v>205</v>
      </c>
      <c r="C214" s="158">
        <v>39360</v>
      </c>
      <c r="D214" s="171"/>
      <c r="E214" s="128">
        <v>5.6031192284013951</v>
      </c>
      <c r="F214" s="128">
        <v>45.876854308811339</v>
      </c>
      <c r="G214" s="129">
        <v>-2939.5071138211383</v>
      </c>
      <c r="H214" s="216"/>
      <c r="I214" s="172"/>
      <c r="J214" s="218"/>
      <c r="K214" s="128">
        <v>62.069099275852004</v>
      </c>
      <c r="L214" s="129">
        <v>731.27540650406513</v>
      </c>
      <c r="M214" s="129">
        <v>26.202191789021601</v>
      </c>
      <c r="N214" s="129">
        <v>10186.763211382115</v>
      </c>
      <c r="O214" s="129"/>
      <c r="P214" s="117">
        <v>156804</v>
      </c>
      <c r="Q214" s="161">
        <v>346823</v>
      </c>
      <c r="R214" s="161">
        <v>611</v>
      </c>
      <c r="S214" s="161">
        <v>-189408</v>
      </c>
      <c r="T214" s="124">
        <v>173260</v>
      </c>
      <c r="U214" s="124">
        <v>42649</v>
      </c>
      <c r="V214" s="136"/>
      <c r="X214" s="116">
        <v>-436</v>
      </c>
      <c r="Y214" s="116">
        <v>497</v>
      </c>
      <c r="Z214" s="161">
        <v>26562</v>
      </c>
      <c r="AA214" s="116">
        <v>33751</v>
      </c>
      <c r="AB214" s="116">
        <v>0</v>
      </c>
      <c r="AD214" s="161">
        <v>-7189</v>
      </c>
      <c r="AE214" s="117">
        <v>-23</v>
      </c>
      <c r="AF214" s="117">
        <v>0</v>
      </c>
      <c r="AG214" s="116">
        <v>-1105</v>
      </c>
      <c r="AH214" s="116">
        <v>-522</v>
      </c>
      <c r="AI214" s="160">
        <v>-8839</v>
      </c>
      <c r="AJ214" s="161">
        <v>139380</v>
      </c>
      <c r="AK214" s="161">
        <v>24752</v>
      </c>
      <c r="AL214" s="150"/>
      <c r="AM214" s="161">
        <v>1905</v>
      </c>
      <c r="AN214" s="161">
        <v>-4131</v>
      </c>
      <c r="AO214" s="160">
        <v>-22852</v>
      </c>
      <c r="AQ214" s="160"/>
      <c r="AR214" s="117"/>
      <c r="AS214" s="117"/>
      <c r="AT214" s="99">
        <v>20</v>
      </c>
      <c r="AU214" s="130"/>
      <c r="AV214" s="262">
        <v>81</v>
      </c>
      <c r="AW214" s="267">
        <v>39205</v>
      </c>
      <c r="AX214" s="124"/>
      <c r="AY214" s="255">
        <v>5.1153229041315686</v>
      </c>
      <c r="AZ214" s="259">
        <v>58.407153759911388</v>
      </c>
      <c r="BA214" s="160">
        <v>-3685.1422012498406</v>
      </c>
      <c r="BB214" s="130"/>
      <c r="BC214" s="130"/>
      <c r="BD214" s="130"/>
      <c r="BE214" s="128">
        <v>56.336735101188182</v>
      </c>
      <c r="BF214" s="160">
        <v>1136.3601581430939</v>
      </c>
      <c r="BG214" s="129">
        <v>25.983332015966486</v>
      </c>
      <c r="BH214" s="131">
        <v>10326.437954342558</v>
      </c>
      <c r="BI214" s="124"/>
      <c r="BJ214" s="117">
        <v>156644</v>
      </c>
      <c r="BK214" s="117">
        <v>348455</v>
      </c>
      <c r="BL214" s="161">
        <v>2415</v>
      </c>
      <c r="BM214" s="161">
        <v>-189396</v>
      </c>
      <c r="BN214" s="117">
        <v>169120</v>
      </c>
      <c r="BO214" s="117">
        <v>44391</v>
      </c>
      <c r="BP214" s="136"/>
      <c r="BR214" s="160">
        <v>-607</v>
      </c>
      <c r="BS214" s="160">
        <v>1094</v>
      </c>
      <c r="BT214" s="161">
        <v>24602</v>
      </c>
      <c r="BU214" s="125">
        <v>31199</v>
      </c>
      <c r="BV214" s="160">
        <v>0</v>
      </c>
      <c r="BX214" s="161">
        <v>-6597</v>
      </c>
      <c r="BY214" s="161">
        <v>99</v>
      </c>
      <c r="BZ214" s="160">
        <v>0</v>
      </c>
      <c r="CA214" s="160">
        <v>1025</v>
      </c>
      <c r="CB214" s="160">
        <v>-408</v>
      </c>
      <c r="CC214" s="160">
        <v>-7931</v>
      </c>
      <c r="CD214" s="160">
        <v>131714</v>
      </c>
      <c r="CE214" s="116">
        <v>20395</v>
      </c>
      <c r="CF214" s="150"/>
      <c r="CG214" s="161">
        <v>-630</v>
      </c>
      <c r="CH214" s="160">
        <v>-4083</v>
      </c>
      <c r="CI214" s="159">
        <v>-28981</v>
      </c>
      <c r="CK214" s="124"/>
      <c r="CL214" s="161"/>
      <c r="CM214" s="124"/>
      <c r="CN214" s="265">
        <v>20</v>
      </c>
      <c r="CO214" s="130"/>
      <c r="CP214" s="116">
        <v>81</v>
      </c>
      <c r="CQ214" s="267">
        <v>39040</v>
      </c>
      <c r="CR214" s="124"/>
      <c r="CS214" s="268">
        <v>6.1423686664594346</v>
      </c>
      <c r="CT214" s="269">
        <v>50.501194608040741</v>
      </c>
      <c r="CU214" s="160">
        <v>-3274.9231557377047</v>
      </c>
      <c r="CV214" s="130"/>
      <c r="CW214" s="130"/>
      <c r="CX214" s="130"/>
      <c r="CY214" s="269">
        <v>59.481643626755286</v>
      </c>
      <c r="CZ214" s="125">
        <v>1276.485655737705</v>
      </c>
      <c r="DA214" s="125">
        <v>45.275219538421716</v>
      </c>
      <c r="DB214" s="273">
        <v>10290.77868852459</v>
      </c>
      <c r="DC214" s="124"/>
      <c r="DD214" s="117">
        <v>157634</v>
      </c>
      <c r="DE214" s="117">
        <v>349892</v>
      </c>
      <c r="DF214" s="117">
        <v>1590</v>
      </c>
      <c r="DG214" s="117">
        <v>-190668</v>
      </c>
      <c r="DH214" s="117">
        <v>182856</v>
      </c>
      <c r="DI214" s="117">
        <v>66338</v>
      </c>
      <c r="DJ214" s="136"/>
      <c r="DL214" s="160">
        <v>-874</v>
      </c>
      <c r="DM214" s="160">
        <v>745</v>
      </c>
      <c r="DN214" s="161">
        <v>58397</v>
      </c>
      <c r="DO214" s="116">
        <v>32585</v>
      </c>
      <c r="DP214" s="160">
        <v>550</v>
      </c>
      <c r="DR214" s="161">
        <v>26362</v>
      </c>
      <c r="DS214" s="117">
        <v>8</v>
      </c>
      <c r="DT214" s="116">
        <v>-692</v>
      </c>
      <c r="DU214" s="116">
        <v>557</v>
      </c>
      <c r="DV214" s="116">
        <v>-407</v>
      </c>
      <c r="DW214" s="160">
        <v>24714</v>
      </c>
      <c r="DX214" s="160">
        <v>156799</v>
      </c>
      <c r="DY214" s="116">
        <v>53648</v>
      </c>
      <c r="DZ214" s="150"/>
      <c r="EA214" s="117">
        <v>-587</v>
      </c>
      <c r="EB214" s="116">
        <v>-8768</v>
      </c>
      <c r="EC214" s="159">
        <v>16349</v>
      </c>
      <c r="EE214" s="125"/>
      <c r="EF214" s="161"/>
      <c r="EG214" s="124"/>
      <c r="EH214" s="253">
        <v>21</v>
      </c>
      <c r="EI214" s="130"/>
      <c r="EJ214" s="125">
        <v>23</v>
      </c>
      <c r="EK214" s="116"/>
      <c r="EL214" s="159"/>
      <c r="EN214" s="116"/>
      <c r="EO214" s="116"/>
      <c r="EP214" s="159"/>
      <c r="EQ214" s="159">
        <v>-48986</v>
      </c>
      <c r="ER214" s="116">
        <v>315</v>
      </c>
      <c r="ES214" s="116">
        <v>1067</v>
      </c>
      <c r="ET214" s="160">
        <v>-51024</v>
      </c>
      <c r="EU214" s="116">
        <v>474</v>
      </c>
      <c r="EV214" s="116">
        <v>1174</v>
      </c>
      <c r="EW214" s="160">
        <v>-41962</v>
      </c>
      <c r="EX214" s="160">
        <v>487</v>
      </c>
      <c r="EY214" s="160">
        <v>4176</v>
      </c>
      <c r="EZ214" s="116">
        <v>14192</v>
      </c>
      <c r="FA214" s="116">
        <v>-197</v>
      </c>
      <c r="FB214" s="116">
        <v>44496</v>
      </c>
      <c r="FC214" s="160">
        <v>3671</v>
      </c>
      <c r="FD214" s="116">
        <v>1766</v>
      </c>
      <c r="FE214" s="116">
        <v>-4533</v>
      </c>
      <c r="FF214" s="3">
        <v>84188</v>
      </c>
      <c r="FG214" s="3">
        <v>76627</v>
      </c>
      <c r="FH214" s="3">
        <v>7561</v>
      </c>
      <c r="FI214" s="3">
        <v>129</v>
      </c>
      <c r="FJ214" s="125">
        <v>128276</v>
      </c>
      <c r="FK214" s="160">
        <v>113287</v>
      </c>
      <c r="FL214" s="125">
        <v>14989</v>
      </c>
      <c r="FM214" s="116">
        <v>0</v>
      </c>
      <c r="FN214" s="125">
        <v>116782</v>
      </c>
      <c r="FO214" s="116">
        <v>106342</v>
      </c>
      <c r="FP214" s="116">
        <v>10440</v>
      </c>
      <c r="FQ214" s="116">
        <v>-587</v>
      </c>
      <c r="FR214" s="153">
        <v>1919</v>
      </c>
      <c r="FS214" s="153">
        <v>1208</v>
      </c>
      <c r="FT214" s="276">
        <v>1062</v>
      </c>
      <c r="FU214" s="3">
        <v>3941</v>
      </c>
      <c r="FV214" s="159">
        <v>21744</v>
      </c>
      <c r="FW214" s="170"/>
      <c r="FZ214" s="155"/>
      <c r="GA214" s="2"/>
      <c r="GD214" s="163"/>
      <c r="GE214" s="2"/>
      <c r="GF214" s="2"/>
    </row>
    <row r="215" spans="1:188" ht="14.5" x14ac:dyDescent="0.35">
      <c r="A215" s="72">
        <v>686</v>
      </c>
      <c r="B215" s="70" t="s">
        <v>206</v>
      </c>
      <c r="C215" s="158">
        <v>3196</v>
      </c>
      <c r="D215" s="171"/>
      <c r="E215" s="128">
        <v>0.51853486319505737</v>
      </c>
      <c r="F215" s="128">
        <v>57.750453075176068</v>
      </c>
      <c r="G215" s="129">
        <v>-5860.4505632040054</v>
      </c>
      <c r="H215" s="216"/>
      <c r="I215" s="172"/>
      <c r="J215" s="218"/>
      <c r="K215" s="128">
        <v>31.385492857331467</v>
      </c>
      <c r="L215" s="129">
        <v>1224.9687108886108</v>
      </c>
      <c r="M215" s="129">
        <v>29.265482919636277</v>
      </c>
      <c r="N215" s="129">
        <v>15277.847309136421</v>
      </c>
      <c r="O215" s="129"/>
      <c r="P215" s="117">
        <v>20458</v>
      </c>
      <c r="Q215" s="161">
        <v>42682</v>
      </c>
      <c r="R215" s="161">
        <v>-95</v>
      </c>
      <c r="S215" s="161">
        <v>-22319</v>
      </c>
      <c r="T215" s="124">
        <v>10310</v>
      </c>
      <c r="U215" s="124">
        <v>12823</v>
      </c>
      <c r="V215" s="136"/>
      <c r="X215" s="116">
        <v>-211</v>
      </c>
      <c r="Y215" s="116">
        <v>352</v>
      </c>
      <c r="Z215" s="161">
        <v>955</v>
      </c>
      <c r="AA215" s="116">
        <v>2327</v>
      </c>
      <c r="AB215" s="116">
        <v>50</v>
      </c>
      <c r="AD215" s="161">
        <v>-1322</v>
      </c>
      <c r="AE215" s="117">
        <v>5</v>
      </c>
      <c r="AF215" s="117">
        <v>-3</v>
      </c>
      <c r="AG215" s="116">
        <v>-1</v>
      </c>
      <c r="AH215" s="116">
        <v>13</v>
      </c>
      <c r="AI215" s="160">
        <v>-1308</v>
      </c>
      <c r="AJ215" s="161">
        <v>3558</v>
      </c>
      <c r="AK215" s="161">
        <v>1156</v>
      </c>
      <c r="AL215" s="150"/>
      <c r="AM215" s="161">
        <v>427</v>
      </c>
      <c r="AN215" s="161">
        <v>-2046</v>
      </c>
      <c r="AO215" s="160">
        <v>-2239</v>
      </c>
      <c r="AQ215" s="160"/>
      <c r="AR215" s="117"/>
      <c r="AS215" s="117"/>
      <c r="AT215" s="99">
        <v>22</v>
      </c>
      <c r="AU215" s="130"/>
      <c r="AV215" s="262">
        <v>219</v>
      </c>
      <c r="AW215" s="267">
        <v>3121</v>
      </c>
      <c r="AX215" s="124"/>
      <c r="AY215" s="255">
        <v>0.44616026711185308</v>
      </c>
      <c r="AZ215" s="259">
        <v>60.711392932355189</v>
      </c>
      <c r="BA215" s="160">
        <v>-6757.1291252803585</v>
      </c>
      <c r="BB215" s="130"/>
      <c r="BC215" s="130"/>
      <c r="BD215" s="130"/>
      <c r="BE215" s="128">
        <v>28.832261649599111</v>
      </c>
      <c r="BF215" s="160">
        <v>856.77667414290295</v>
      </c>
      <c r="BG215" s="129">
        <v>29.443975109206299</v>
      </c>
      <c r="BH215" s="131">
        <v>15550.144184556231</v>
      </c>
      <c r="BI215" s="124"/>
      <c r="BJ215" s="117">
        <v>20302</v>
      </c>
      <c r="BK215" s="117">
        <v>42656</v>
      </c>
      <c r="BL215" s="161">
        <v>146</v>
      </c>
      <c r="BM215" s="161">
        <v>-22208</v>
      </c>
      <c r="BN215" s="117">
        <v>10497</v>
      </c>
      <c r="BO215" s="117">
        <v>12412</v>
      </c>
      <c r="BP215" s="136"/>
      <c r="BR215" s="160">
        <v>-238</v>
      </c>
      <c r="BS215" s="160">
        <v>354</v>
      </c>
      <c r="BT215" s="161">
        <v>817</v>
      </c>
      <c r="BU215" s="125">
        <v>1976</v>
      </c>
      <c r="BV215" s="160">
        <v>-13</v>
      </c>
      <c r="BX215" s="161">
        <v>-1172</v>
      </c>
      <c r="BY215" s="161">
        <v>-12</v>
      </c>
      <c r="BZ215" s="161">
        <v>-3</v>
      </c>
      <c r="CA215" s="160">
        <v>5</v>
      </c>
      <c r="CB215" s="160">
        <v>17</v>
      </c>
      <c r="CC215" s="160">
        <v>-1175</v>
      </c>
      <c r="CD215" s="160">
        <v>2383</v>
      </c>
      <c r="CE215" s="116">
        <v>701</v>
      </c>
      <c r="CF215" s="150"/>
      <c r="CG215" s="160">
        <v>49</v>
      </c>
      <c r="CH215" s="160">
        <v>-2144</v>
      </c>
      <c r="CI215" s="159">
        <v>-2315</v>
      </c>
      <c r="CK215" s="124"/>
      <c r="CL215" s="161"/>
      <c r="CM215" s="124"/>
      <c r="CN215" s="265">
        <v>22</v>
      </c>
      <c r="CO215" s="130"/>
      <c r="CP215" s="116">
        <v>221</v>
      </c>
      <c r="CQ215" s="267">
        <v>3053</v>
      </c>
      <c r="CR215" s="124"/>
      <c r="CS215" s="268">
        <v>1.0073720728534259</v>
      </c>
      <c r="CT215" s="269">
        <v>66.404942404253219</v>
      </c>
      <c r="CU215" s="160">
        <v>-6882.0831968555522</v>
      </c>
      <c r="CV215" s="130"/>
      <c r="CW215" s="130"/>
      <c r="CX215" s="130"/>
      <c r="CY215" s="269">
        <v>28.257318432857105</v>
      </c>
      <c r="CZ215" s="125">
        <v>1118.5718964952507</v>
      </c>
      <c r="DA215" s="125">
        <v>28.862273369300947</v>
      </c>
      <c r="DB215" s="273">
        <v>14145.758270553553</v>
      </c>
      <c r="DC215" s="124"/>
      <c r="DD215" s="117">
        <v>16166</v>
      </c>
      <c r="DE215" s="117">
        <v>38747</v>
      </c>
      <c r="DF215" s="117">
        <v>41</v>
      </c>
      <c r="DG215" s="117">
        <v>-22540</v>
      </c>
      <c r="DH215" s="117">
        <v>10644</v>
      </c>
      <c r="DI215" s="117">
        <v>13818</v>
      </c>
      <c r="DJ215" s="136"/>
      <c r="DL215" s="160">
        <v>-153</v>
      </c>
      <c r="DM215" s="160">
        <v>330</v>
      </c>
      <c r="DN215" s="161">
        <v>2099</v>
      </c>
      <c r="DO215" s="116">
        <v>2101</v>
      </c>
      <c r="DP215" s="160">
        <v>-113</v>
      </c>
      <c r="DR215" s="161">
        <v>-115</v>
      </c>
      <c r="DS215" s="117">
        <v>-6</v>
      </c>
      <c r="DT215" s="117">
        <v>-5</v>
      </c>
      <c r="DU215" s="116">
        <v>3</v>
      </c>
      <c r="DV215" s="116">
        <v>13</v>
      </c>
      <c r="DW215" s="160">
        <v>-116</v>
      </c>
      <c r="DX215" s="160">
        <v>2373</v>
      </c>
      <c r="DY215" s="116">
        <v>1948</v>
      </c>
      <c r="DZ215" s="150"/>
      <c r="EA215" s="116">
        <v>-81</v>
      </c>
      <c r="EB215" s="116">
        <v>-2082</v>
      </c>
      <c r="EC215" s="159">
        <v>-22</v>
      </c>
      <c r="EE215" s="125"/>
      <c r="EF215" s="161"/>
      <c r="EG215" s="124"/>
      <c r="EH215" s="253">
        <v>22</v>
      </c>
      <c r="EI215" s="130"/>
      <c r="EJ215" s="125">
        <v>259</v>
      </c>
      <c r="EK215" s="116"/>
      <c r="EL215" s="159"/>
      <c r="EN215" s="116"/>
      <c r="EO215" s="116"/>
      <c r="EP215" s="159"/>
      <c r="EQ215" s="159">
        <v>-3853</v>
      </c>
      <c r="ER215" s="116">
        <v>178</v>
      </c>
      <c r="ES215" s="116">
        <v>280</v>
      </c>
      <c r="ET215" s="160">
        <v>-3455</v>
      </c>
      <c r="EU215" s="116">
        <v>48</v>
      </c>
      <c r="EV215" s="116">
        <v>391</v>
      </c>
      <c r="EW215" s="160">
        <v>-2110</v>
      </c>
      <c r="EX215" s="160">
        <v>67</v>
      </c>
      <c r="EY215" s="160">
        <v>73</v>
      </c>
      <c r="EZ215" s="116">
        <v>3284</v>
      </c>
      <c r="FA215" s="116">
        <v>924</v>
      </c>
      <c r="FB215" s="116">
        <v>2989</v>
      </c>
      <c r="FC215" s="160">
        <v>12</v>
      </c>
      <c r="FD215" s="116">
        <v>3006</v>
      </c>
      <c r="FE215" s="116">
        <v>-304</v>
      </c>
      <c r="FF215" s="3">
        <v>19628</v>
      </c>
      <c r="FG215" s="3">
        <v>16562</v>
      </c>
      <c r="FH215" s="3">
        <v>3066</v>
      </c>
      <c r="FI215" s="3">
        <v>80</v>
      </c>
      <c r="FJ215" s="125">
        <v>20488</v>
      </c>
      <c r="FK215" s="160">
        <v>17381</v>
      </c>
      <c r="FL215" s="125">
        <v>3107</v>
      </c>
      <c r="FM215" s="116">
        <v>80</v>
      </c>
      <c r="FN215" s="125">
        <v>21109</v>
      </c>
      <c r="FO215" s="116">
        <v>17984</v>
      </c>
      <c r="FP215" s="116">
        <v>3125</v>
      </c>
      <c r="FQ215" s="116">
        <v>-81</v>
      </c>
      <c r="FR215" s="153">
        <v>585</v>
      </c>
      <c r="FS215" s="153">
        <v>554</v>
      </c>
      <c r="FT215" s="276">
        <v>193</v>
      </c>
      <c r="FU215" s="3">
        <v>1061</v>
      </c>
      <c r="FV215" s="159">
        <v>1115</v>
      </c>
      <c r="FW215" s="170"/>
      <c r="FZ215" s="155"/>
      <c r="GA215" s="2"/>
      <c r="GD215" s="163"/>
      <c r="GE215" s="2"/>
      <c r="GF215" s="2"/>
    </row>
    <row r="216" spans="1:188" ht="14.5" x14ac:dyDescent="0.35">
      <c r="A216" s="72">
        <v>687</v>
      </c>
      <c r="B216" s="70" t="s">
        <v>207</v>
      </c>
      <c r="C216" s="158">
        <v>1651</v>
      </c>
      <c r="D216" s="171"/>
      <c r="E216" s="128">
        <v>1.0157728706624605</v>
      </c>
      <c r="F216" s="128">
        <v>77.951739165523364</v>
      </c>
      <c r="G216" s="129">
        <v>-7915.8086008479704</v>
      </c>
      <c r="H216" s="216"/>
      <c r="I216" s="172"/>
      <c r="J216" s="218"/>
      <c r="K216" s="128">
        <v>37.038082690256601</v>
      </c>
      <c r="L216" s="129">
        <v>1377.9527559055118</v>
      </c>
      <c r="M216" s="129">
        <v>31.198339344755038</v>
      </c>
      <c r="N216" s="129">
        <v>16121.13870381587</v>
      </c>
      <c r="O216" s="129"/>
      <c r="P216" s="117">
        <v>10438</v>
      </c>
      <c r="Q216" s="161">
        <v>23187</v>
      </c>
      <c r="R216" s="161">
        <v>28</v>
      </c>
      <c r="S216" s="161">
        <v>-12721</v>
      </c>
      <c r="T216" s="124">
        <v>5549</v>
      </c>
      <c r="U216" s="124">
        <v>8795</v>
      </c>
      <c r="V216" s="136"/>
      <c r="X216" s="116">
        <v>-81</v>
      </c>
      <c r="Y216" s="116">
        <v>237</v>
      </c>
      <c r="Z216" s="161">
        <v>1779</v>
      </c>
      <c r="AA216" s="116">
        <v>1552</v>
      </c>
      <c r="AB216" s="116">
        <v>-35</v>
      </c>
      <c r="AD216" s="161">
        <v>192</v>
      </c>
      <c r="AE216" s="116">
        <v>31</v>
      </c>
      <c r="AF216" s="116">
        <v>3</v>
      </c>
      <c r="AG216" s="116">
        <v>0</v>
      </c>
      <c r="AH216" s="116">
        <v>-1</v>
      </c>
      <c r="AI216" s="160">
        <v>225</v>
      </c>
      <c r="AJ216" s="161">
        <v>3158</v>
      </c>
      <c r="AK216" s="161">
        <v>1746</v>
      </c>
      <c r="AL216" s="150"/>
      <c r="AM216" s="161">
        <v>736</v>
      </c>
      <c r="AN216" s="161">
        <v>-1749</v>
      </c>
      <c r="AO216" s="160">
        <v>389</v>
      </c>
      <c r="AQ216" s="160"/>
      <c r="AR216" s="117"/>
      <c r="AS216" s="117"/>
      <c r="AT216" s="99">
        <v>22</v>
      </c>
      <c r="AU216" s="130"/>
      <c r="AV216" s="262">
        <v>18</v>
      </c>
      <c r="AW216" s="267">
        <v>1602</v>
      </c>
      <c r="AX216" s="124"/>
      <c r="AY216" s="255">
        <v>0.67565982404692082</v>
      </c>
      <c r="AZ216" s="259">
        <v>78.749897599737849</v>
      </c>
      <c r="BA216" s="160">
        <v>-8290.8863920099884</v>
      </c>
      <c r="BB216" s="130"/>
      <c r="BC216" s="130"/>
      <c r="BD216" s="130"/>
      <c r="BE216" s="128">
        <v>37.189298589589527</v>
      </c>
      <c r="BF216" s="160">
        <v>1293.3832709113608</v>
      </c>
      <c r="BG216" s="129">
        <v>31.165037636220646</v>
      </c>
      <c r="BH216" s="131">
        <v>16668.539325842699</v>
      </c>
      <c r="BI216" s="124"/>
      <c r="BJ216" s="117">
        <v>10387</v>
      </c>
      <c r="BK216" s="117">
        <v>23597</v>
      </c>
      <c r="BL216" s="161">
        <v>20</v>
      </c>
      <c r="BM216" s="161">
        <v>-13190</v>
      </c>
      <c r="BN216" s="117">
        <v>5587</v>
      </c>
      <c r="BO216" s="117">
        <v>8440</v>
      </c>
      <c r="BP216" s="136"/>
      <c r="BR216" s="160">
        <v>-54</v>
      </c>
      <c r="BS216" s="160">
        <v>243</v>
      </c>
      <c r="BT216" s="161">
        <v>1026</v>
      </c>
      <c r="BU216" s="125">
        <v>1500</v>
      </c>
      <c r="BV216" s="160">
        <v>0</v>
      </c>
      <c r="BX216" s="161">
        <v>-474</v>
      </c>
      <c r="BY216" s="160">
        <v>26</v>
      </c>
      <c r="BZ216" s="160">
        <v>-40</v>
      </c>
      <c r="CA216" s="160">
        <v>2</v>
      </c>
      <c r="CB216" s="160">
        <v>-2</v>
      </c>
      <c r="CC216" s="160">
        <v>-492</v>
      </c>
      <c r="CD216" s="160">
        <v>2966</v>
      </c>
      <c r="CE216" s="116">
        <v>1053</v>
      </c>
      <c r="CF216" s="150"/>
      <c r="CG216" s="161">
        <v>196</v>
      </c>
      <c r="CH216" s="160">
        <v>-1579</v>
      </c>
      <c r="CI216" s="159">
        <v>-273</v>
      </c>
      <c r="CK216" s="124"/>
      <c r="CL216" s="161"/>
      <c r="CM216" s="124"/>
      <c r="CN216" s="265">
        <v>22</v>
      </c>
      <c r="CO216" s="130"/>
      <c r="CP216" s="116">
        <v>77</v>
      </c>
      <c r="CQ216" s="267">
        <v>1561</v>
      </c>
      <c r="CR216" s="124"/>
      <c r="CS216" s="268">
        <v>1.8115154807170015</v>
      </c>
      <c r="CT216" s="269">
        <v>69.553544031911628</v>
      </c>
      <c r="CU216" s="160">
        <v>-7379.8846893017298</v>
      </c>
      <c r="CV216" s="130"/>
      <c r="CW216" s="130"/>
      <c r="CX216" s="130"/>
      <c r="CY216" s="269">
        <v>41.334956760638129</v>
      </c>
      <c r="CZ216" s="125">
        <v>1578.4753363228699</v>
      </c>
      <c r="DA216" s="125">
        <v>33.815611370130846</v>
      </c>
      <c r="DB216" s="273">
        <v>17037.796284433058</v>
      </c>
      <c r="DC216" s="124"/>
      <c r="DD216" s="117">
        <v>11080</v>
      </c>
      <c r="DE216" s="117">
        <v>23065</v>
      </c>
      <c r="DF216" s="117">
        <v>29</v>
      </c>
      <c r="DG216" s="117">
        <v>-11956</v>
      </c>
      <c r="DH216" s="117">
        <v>5759</v>
      </c>
      <c r="DI216" s="117">
        <v>9233</v>
      </c>
      <c r="DJ216" s="136"/>
      <c r="DL216" s="160">
        <v>-57</v>
      </c>
      <c r="DM216" s="160">
        <v>229</v>
      </c>
      <c r="DN216" s="161">
        <v>3208</v>
      </c>
      <c r="DO216" s="116">
        <v>1768</v>
      </c>
      <c r="DP216" s="160">
        <v>4</v>
      </c>
      <c r="DR216" s="161">
        <v>1444</v>
      </c>
      <c r="DS216" s="116">
        <v>67</v>
      </c>
      <c r="DT216" s="116">
        <v>1</v>
      </c>
      <c r="DU216" s="116">
        <v>2</v>
      </c>
      <c r="DV216" s="116">
        <v>-2</v>
      </c>
      <c r="DW216" s="160">
        <v>1508</v>
      </c>
      <c r="DX216" s="160">
        <v>4551</v>
      </c>
      <c r="DY216" s="116">
        <v>3164</v>
      </c>
      <c r="DZ216" s="150"/>
      <c r="EA216" s="117">
        <v>-117</v>
      </c>
      <c r="EB216" s="116">
        <v>-1714</v>
      </c>
      <c r="EC216" s="159">
        <v>1575</v>
      </c>
      <c r="EE216" s="125"/>
      <c r="EF216" s="161"/>
      <c r="EG216" s="124"/>
      <c r="EH216" s="253">
        <v>22</v>
      </c>
      <c r="EI216" s="130"/>
      <c r="EJ216" s="125">
        <v>4</v>
      </c>
      <c r="EK216" s="116"/>
      <c r="EL216" s="159"/>
      <c r="EN216" s="116"/>
      <c r="EO216" s="116"/>
      <c r="EP216" s="159"/>
      <c r="EQ216" s="159">
        <v>-1510</v>
      </c>
      <c r="ER216" s="116">
        <v>38</v>
      </c>
      <c r="ES216" s="116">
        <v>115</v>
      </c>
      <c r="ET216" s="160">
        <v>-1398</v>
      </c>
      <c r="EU216" s="116">
        <v>44</v>
      </c>
      <c r="EV216" s="116">
        <v>28</v>
      </c>
      <c r="EW216" s="160">
        <v>-1668</v>
      </c>
      <c r="EX216" s="160">
        <v>22</v>
      </c>
      <c r="EY216" s="160">
        <v>57</v>
      </c>
      <c r="EZ216" s="116">
        <v>584</v>
      </c>
      <c r="FA216" s="116">
        <v>1</v>
      </c>
      <c r="FB216" s="116">
        <v>1626</v>
      </c>
      <c r="FC216" s="160">
        <v>13</v>
      </c>
      <c r="FD216" s="116">
        <v>680</v>
      </c>
      <c r="FE216" s="116">
        <v>-2</v>
      </c>
      <c r="FF216" s="3">
        <v>16065</v>
      </c>
      <c r="FG216" s="3">
        <v>14461</v>
      </c>
      <c r="FH216" s="3">
        <v>1604</v>
      </c>
      <c r="FI216" s="3">
        <v>26</v>
      </c>
      <c r="FJ216" s="125">
        <v>16127</v>
      </c>
      <c r="FK216" s="160">
        <v>14382</v>
      </c>
      <c r="FL216" s="125">
        <v>1745</v>
      </c>
      <c r="FM216" s="116">
        <v>26</v>
      </c>
      <c r="FN216" s="125">
        <v>15091</v>
      </c>
      <c r="FO216" s="116">
        <v>13246</v>
      </c>
      <c r="FP216" s="116">
        <v>1845</v>
      </c>
      <c r="FQ216" s="116">
        <v>-117</v>
      </c>
      <c r="FR216" s="153">
        <v>1021</v>
      </c>
      <c r="FS216" s="153">
        <v>638</v>
      </c>
      <c r="FT216" s="276">
        <v>515</v>
      </c>
      <c r="FU216" s="3">
        <v>404</v>
      </c>
      <c r="FV216" s="159">
        <v>651</v>
      </c>
      <c r="FW216" s="170"/>
      <c r="FZ216" s="155"/>
      <c r="GA216" s="2"/>
      <c r="GD216" s="163"/>
      <c r="GE216" s="2"/>
      <c r="GF216" s="2"/>
    </row>
    <row r="217" spans="1:188" ht="14.5" x14ac:dyDescent="0.35">
      <c r="A217" s="72">
        <v>689</v>
      </c>
      <c r="B217" s="70" t="s">
        <v>208</v>
      </c>
      <c r="C217" s="158">
        <v>3335</v>
      </c>
      <c r="D217" s="171"/>
      <c r="E217" s="128">
        <v>1.8477537437603992</v>
      </c>
      <c r="F217" s="128">
        <v>39.899106237906572</v>
      </c>
      <c r="G217" s="129">
        <v>-3940.0299850074966</v>
      </c>
      <c r="H217" s="216"/>
      <c r="I217" s="172"/>
      <c r="J217" s="218"/>
      <c r="K217" s="128">
        <v>52.918017044772533</v>
      </c>
      <c r="L217" s="129">
        <v>342.4287856071964</v>
      </c>
      <c r="M217" s="129">
        <v>9.4382302327687704</v>
      </c>
      <c r="N217" s="129">
        <v>13242.578710644677</v>
      </c>
      <c r="O217" s="129"/>
      <c r="P217" s="117">
        <v>20231</v>
      </c>
      <c r="Q217" s="161">
        <v>41267</v>
      </c>
      <c r="R217" s="161">
        <v>6</v>
      </c>
      <c r="S217" s="161">
        <v>-21030</v>
      </c>
      <c r="T217" s="124">
        <v>11975</v>
      </c>
      <c r="U217" s="124">
        <v>11206</v>
      </c>
      <c r="V217" s="136"/>
      <c r="X217" s="116">
        <v>-16</v>
      </c>
      <c r="Y217" s="116">
        <v>18</v>
      </c>
      <c r="Z217" s="161">
        <v>2153</v>
      </c>
      <c r="AA217" s="116">
        <v>2456</v>
      </c>
      <c r="AB217" s="116">
        <v>0</v>
      </c>
      <c r="AD217" s="161">
        <v>-303</v>
      </c>
      <c r="AE217" s="116">
        <v>3</v>
      </c>
      <c r="AF217" s="116">
        <v>3</v>
      </c>
      <c r="AG217" s="116">
        <v>-15</v>
      </c>
      <c r="AH217" s="116">
        <v>-9</v>
      </c>
      <c r="AI217" s="160">
        <v>-321</v>
      </c>
      <c r="AJ217" s="161">
        <v>11932</v>
      </c>
      <c r="AK217" s="161">
        <v>2130</v>
      </c>
      <c r="AL217" s="150"/>
      <c r="AM217" s="161">
        <v>-577</v>
      </c>
      <c r="AN217" s="161">
        <v>-1134</v>
      </c>
      <c r="AO217" s="160">
        <v>714</v>
      </c>
      <c r="AQ217" s="160"/>
      <c r="AR217" s="117"/>
      <c r="AS217" s="117"/>
      <c r="AT217" s="99">
        <v>20.25</v>
      </c>
      <c r="AU217" s="130"/>
      <c r="AV217" s="262">
        <v>93</v>
      </c>
      <c r="AW217" s="267">
        <v>3226</v>
      </c>
      <c r="AX217" s="124"/>
      <c r="AY217" s="255">
        <v>-0.52870370370370368</v>
      </c>
      <c r="AZ217" s="259">
        <v>40.935205872965206</v>
      </c>
      <c r="BA217" s="160">
        <v>-3891.5065096094231</v>
      </c>
      <c r="BB217" s="130"/>
      <c r="BC217" s="130"/>
      <c r="BD217" s="130"/>
      <c r="BE217" s="128">
        <v>51.459612659423712</v>
      </c>
      <c r="BF217" s="160">
        <v>736.51580905145681</v>
      </c>
      <c r="BG217" s="129">
        <v>9.9591436899698955</v>
      </c>
      <c r="BH217" s="131">
        <v>12973.961562306262</v>
      </c>
      <c r="BI217" s="124"/>
      <c r="BJ217" s="117">
        <v>20502</v>
      </c>
      <c r="BK217" s="117">
        <v>42799</v>
      </c>
      <c r="BL217" s="161">
        <v>3</v>
      </c>
      <c r="BM217" s="161">
        <v>-22294</v>
      </c>
      <c r="BN217" s="117">
        <v>12582</v>
      </c>
      <c r="BO217" s="117">
        <v>10778</v>
      </c>
      <c r="BP217" s="136"/>
      <c r="BR217" s="160">
        <v>2</v>
      </c>
      <c r="BS217" s="160">
        <v>17</v>
      </c>
      <c r="BT217" s="161">
        <v>1085</v>
      </c>
      <c r="BU217" s="125">
        <v>2349</v>
      </c>
      <c r="BV217" s="160">
        <v>291</v>
      </c>
      <c r="BX217" s="161">
        <v>-973</v>
      </c>
      <c r="BY217" s="160">
        <v>2</v>
      </c>
      <c r="BZ217" s="160">
        <v>-36</v>
      </c>
      <c r="CA217" s="160">
        <v>-10</v>
      </c>
      <c r="CB217" s="160">
        <v>-10</v>
      </c>
      <c r="CC217" s="160">
        <v>-1007</v>
      </c>
      <c r="CD217" s="160">
        <v>11424</v>
      </c>
      <c r="CE217" s="116">
        <v>1160</v>
      </c>
      <c r="CF217" s="150"/>
      <c r="CG217" s="161">
        <v>-13</v>
      </c>
      <c r="CH217" s="160">
        <v>-2217</v>
      </c>
      <c r="CI217" s="159">
        <v>524</v>
      </c>
      <c r="CK217" s="124"/>
      <c r="CL217" s="161"/>
      <c r="CM217" s="124"/>
      <c r="CN217" s="265">
        <v>20.25</v>
      </c>
      <c r="CO217" s="130"/>
      <c r="CP217" s="116">
        <v>194</v>
      </c>
      <c r="CQ217" s="267">
        <v>3146</v>
      </c>
      <c r="CR217" s="124"/>
      <c r="CS217" s="268">
        <v>1.1962922573609596</v>
      </c>
      <c r="CT217" s="269">
        <v>35.90672202102288</v>
      </c>
      <c r="CU217" s="160">
        <v>-3930.0699300699298</v>
      </c>
      <c r="CV217" s="130"/>
      <c r="CW217" s="130"/>
      <c r="CX217" s="130"/>
      <c r="CY217" s="269">
        <v>51.065517153163292</v>
      </c>
      <c r="CZ217" s="125">
        <v>461.85632549268911</v>
      </c>
      <c r="DA217" s="125">
        <v>11.509223090277779</v>
      </c>
      <c r="DB217" s="273">
        <v>14647.171010807375</v>
      </c>
      <c r="DC217" s="124"/>
      <c r="DD217" s="117">
        <v>21488</v>
      </c>
      <c r="DE217" s="117">
        <v>44167</v>
      </c>
      <c r="DF217" s="117">
        <v>6</v>
      </c>
      <c r="DG217" s="117">
        <v>-22673</v>
      </c>
      <c r="DH217" s="117">
        <v>12378</v>
      </c>
      <c r="DI217" s="117">
        <v>11418</v>
      </c>
      <c r="DJ217" s="136"/>
      <c r="DL217" s="160">
        <v>-8</v>
      </c>
      <c r="DM217" s="160">
        <v>-88</v>
      </c>
      <c r="DN217" s="161">
        <v>1027</v>
      </c>
      <c r="DO217" s="116">
        <v>2273</v>
      </c>
      <c r="DP217" s="160">
        <v>30</v>
      </c>
      <c r="DR217" s="161">
        <v>-1216</v>
      </c>
      <c r="DS217" s="116">
        <v>-20</v>
      </c>
      <c r="DT217" s="116">
        <v>47</v>
      </c>
      <c r="DU217" s="116">
        <v>22</v>
      </c>
      <c r="DV217" s="116">
        <v>-7</v>
      </c>
      <c r="DW217" s="160">
        <v>-1218</v>
      </c>
      <c r="DX217" s="160">
        <v>9638</v>
      </c>
      <c r="DY217" s="116">
        <v>1109</v>
      </c>
      <c r="DZ217" s="150"/>
      <c r="EA217" s="117">
        <v>613</v>
      </c>
      <c r="EB217" s="116">
        <v>-847</v>
      </c>
      <c r="EC217" s="159">
        <v>327</v>
      </c>
      <c r="EE217" s="125"/>
      <c r="EF217" s="161"/>
      <c r="EG217" s="124"/>
      <c r="EH217" s="253">
        <v>20.5</v>
      </c>
      <c r="EI217" s="130"/>
      <c r="EJ217" s="125">
        <v>291</v>
      </c>
      <c r="EK217" s="116"/>
      <c r="EL217" s="159"/>
      <c r="EN217" s="116"/>
      <c r="EO217" s="116"/>
      <c r="EP217" s="159"/>
      <c r="EQ217" s="159">
        <v>-1695</v>
      </c>
      <c r="ER217" s="116">
        <v>0</v>
      </c>
      <c r="ES217" s="116">
        <v>279</v>
      </c>
      <c r="ET217" s="160">
        <v>-1211</v>
      </c>
      <c r="EU217" s="116">
        <v>55</v>
      </c>
      <c r="EV217" s="116">
        <v>520</v>
      </c>
      <c r="EW217" s="160">
        <v>-893</v>
      </c>
      <c r="EX217" s="160">
        <v>35</v>
      </c>
      <c r="EY217" s="160">
        <v>76</v>
      </c>
      <c r="EZ217" s="116">
        <v>1024</v>
      </c>
      <c r="FA217" s="116">
        <v>265</v>
      </c>
      <c r="FB217" s="116">
        <v>-1654</v>
      </c>
      <c r="FC217" s="160">
        <v>0</v>
      </c>
      <c r="FD217" s="116">
        <v>377</v>
      </c>
      <c r="FE217" s="116">
        <v>-1669</v>
      </c>
      <c r="FF217" s="3">
        <v>11672</v>
      </c>
      <c r="FG217" s="3">
        <v>9265</v>
      </c>
      <c r="FH217" s="3">
        <v>2407</v>
      </c>
      <c r="FI217" s="3">
        <v>36</v>
      </c>
      <c r="FJ217" s="125">
        <v>12167</v>
      </c>
      <c r="FK217" s="160">
        <v>7300</v>
      </c>
      <c r="FL217" s="125">
        <v>4867</v>
      </c>
      <c r="FM217" s="116">
        <v>370</v>
      </c>
      <c r="FN217" s="125">
        <v>9966</v>
      </c>
      <c r="FO217" s="116">
        <v>7135</v>
      </c>
      <c r="FP217" s="116">
        <v>2831</v>
      </c>
      <c r="FQ217" s="116">
        <v>613</v>
      </c>
      <c r="FR217" s="153">
        <v>248</v>
      </c>
      <c r="FS217" s="153">
        <v>230</v>
      </c>
      <c r="FT217" s="276">
        <v>214</v>
      </c>
      <c r="FU217" s="3">
        <v>2398</v>
      </c>
      <c r="FV217" s="159">
        <v>3397</v>
      </c>
      <c r="FW217" s="170"/>
      <c r="FZ217" s="155"/>
      <c r="GA217" s="2"/>
      <c r="GD217" s="163"/>
      <c r="GE217" s="2"/>
      <c r="GF217" s="2"/>
    </row>
    <row r="218" spans="1:188" ht="14.5" x14ac:dyDescent="0.35">
      <c r="A218" s="72">
        <v>691</v>
      </c>
      <c r="B218" s="70" t="s">
        <v>209</v>
      </c>
      <c r="C218" s="158">
        <v>2743</v>
      </c>
      <c r="D218" s="171"/>
      <c r="E218" s="128">
        <v>-4.7210300429184553E-2</v>
      </c>
      <c r="F218" s="128">
        <v>77.470585789714377</v>
      </c>
      <c r="G218" s="129">
        <v>-7118.847976667882</v>
      </c>
      <c r="H218" s="216"/>
      <c r="I218" s="172"/>
      <c r="J218" s="218"/>
      <c r="K218" s="128">
        <v>19.4922995220393</v>
      </c>
      <c r="L218" s="129">
        <v>5475.7564710171346</v>
      </c>
      <c r="M218" s="129">
        <v>102.02664979342688</v>
      </c>
      <c r="N218" s="129">
        <v>19589.500546846521</v>
      </c>
      <c r="O218" s="129"/>
      <c r="P218" s="117">
        <v>29358</v>
      </c>
      <c r="Q218" s="161">
        <v>47848</v>
      </c>
      <c r="R218" s="161">
        <v>2</v>
      </c>
      <c r="S218" s="161">
        <v>-18488</v>
      </c>
      <c r="T218" s="124">
        <v>8017</v>
      </c>
      <c r="U218" s="124">
        <v>10731</v>
      </c>
      <c r="V218" s="136"/>
      <c r="X218" s="116">
        <v>-228</v>
      </c>
      <c r="Y218" s="116">
        <v>-457</v>
      </c>
      <c r="Z218" s="161">
        <v>-425</v>
      </c>
      <c r="AA218" s="116">
        <v>1291</v>
      </c>
      <c r="AB218" s="116">
        <v>-1</v>
      </c>
      <c r="AD218" s="161">
        <v>-1717</v>
      </c>
      <c r="AE218" s="116">
        <v>0</v>
      </c>
      <c r="AF218" s="116">
        <v>-97</v>
      </c>
      <c r="AG218" s="116">
        <v>0</v>
      </c>
      <c r="AH218" s="116">
        <v>0</v>
      </c>
      <c r="AI218" s="160">
        <v>-1814</v>
      </c>
      <c r="AJ218" s="161">
        <v>-654</v>
      </c>
      <c r="AK218" s="161">
        <v>-403</v>
      </c>
      <c r="AL218" s="150"/>
      <c r="AM218" s="161">
        <v>-210</v>
      </c>
      <c r="AN218" s="161">
        <v>-3723</v>
      </c>
      <c r="AO218" s="160">
        <v>-1640</v>
      </c>
      <c r="AQ218" s="160"/>
      <c r="AR218" s="117"/>
      <c r="AS218" s="117"/>
      <c r="AT218" s="99">
        <v>22.5</v>
      </c>
      <c r="AU218" s="130"/>
      <c r="AV218" s="262">
        <v>291</v>
      </c>
      <c r="AW218" s="267">
        <v>2718</v>
      </c>
      <c r="AX218" s="124"/>
      <c r="AY218" s="255">
        <v>0.27597567156614294</v>
      </c>
      <c r="AZ218" s="259">
        <v>86.77643794250271</v>
      </c>
      <c r="BA218" s="160">
        <v>-9247.6085356880048</v>
      </c>
      <c r="BB218" s="130"/>
      <c r="BC218" s="130"/>
      <c r="BD218" s="130"/>
      <c r="BE218" s="128">
        <v>16.319782143551837</v>
      </c>
      <c r="BF218" s="160">
        <v>4615.1582045621781</v>
      </c>
      <c r="BG218" s="129">
        <v>92.06087881515424</v>
      </c>
      <c r="BH218" s="131">
        <v>22481.60412067697</v>
      </c>
      <c r="BI218" s="124"/>
      <c r="BJ218" s="117">
        <v>29550</v>
      </c>
      <c r="BK218" s="117">
        <v>48455</v>
      </c>
      <c r="BL218" s="161">
        <v>3</v>
      </c>
      <c r="BM218" s="161">
        <v>-18902</v>
      </c>
      <c r="BN218" s="117">
        <v>8204</v>
      </c>
      <c r="BO218" s="117">
        <v>11257</v>
      </c>
      <c r="BP218" s="136"/>
      <c r="BR218" s="160">
        <v>-213</v>
      </c>
      <c r="BS218" s="160">
        <v>520</v>
      </c>
      <c r="BT218" s="161">
        <v>866</v>
      </c>
      <c r="BU218" s="125">
        <v>1597</v>
      </c>
      <c r="BV218" s="160">
        <v>0</v>
      </c>
      <c r="BX218" s="161">
        <v>-731</v>
      </c>
      <c r="BY218" s="160">
        <v>-51</v>
      </c>
      <c r="BZ218" s="160">
        <v>-56</v>
      </c>
      <c r="CA218" s="160">
        <v>0</v>
      </c>
      <c r="CB218" s="160">
        <v>0</v>
      </c>
      <c r="CC218" s="160">
        <v>-838</v>
      </c>
      <c r="CD218" s="160">
        <v>-1552</v>
      </c>
      <c r="CE218" s="116">
        <v>1008</v>
      </c>
      <c r="CF218" s="150"/>
      <c r="CG218" s="161">
        <v>-2885</v>
      </c>
      <c r="CH218" s="160">
        <v>-3723</v>
      </c>
      <c r="CI218" s="159">
        <v>-4960</v>
      </c>
      <c r="CK218" s="124"/>
      <c r="CL218" s="161"/>
      <c r="CM218" s="124"/>
      <c r="CN218" s="265">
        <v>22.5</v>
      </c>
      <c r="CO218" s="130"/>
      <c r="CP218" s="116">
        <v>202</v>
      </c>
      <c r="CQ218" s="267">
        <v>2710</v>
      </c>
      <c r="CR218" s="124"/>
      <c r="CS218" s="268">
        <v>0.69342298802269386</v>
      </c>
      <c r="CT218" s="269">
        <v>85.040260203879257</v>
      </c>
      <c r="CU218" s="160">
        <v>-9738.376383763838</v>
      </c>
      <c r="CV218" s="130"/>
      <c r="CW218" s="130"/>
      <c r="CX218" s="130"/>
      <c r="CY218" s="269">
        <v>18.214939686255263</v>
      </c>
      <c r="CZ218" s="125">
        <v>4952.7675276752761</v>
      </c>
      <c r="DA218" s="125">
        <v>86.93467960889393</v>
      </c>
      <c r="DB218" s="273">
        <v>20794.464944649448</v>
      </c>
      <c r="DC218" s="124"/>
      <c r="DD218" s="117">
        <v>29447</v>
      </c>
      <c r="DE218" s="117">
        <v>47653</v>
      </c>
      <c r="DF218" s="117">
        <v>2</v>
      </c>
      <c r="DG218" s="117">
        <v>-18204</v>
      </c>
      <c r="DH218" s="117">
        <v>8664</v>
      </c>
      <c r="DI218" s="117">
        <v>12311</v>
      </c>
      <c r="DJ218" s="136"/>
      <c r="DL218" s="160">
        <v>-238</v>
      </c>
      <c r="DM218" s="160">
        <v>459</v>
      </c>
      <c r="DN218" s="161">
        <v>2992</v>
      </c>
      <c r="DO218" s="116">
        <v>1852</v>
      </c>
      <c r="DP218" s="160">
        <v>0</v>
      </c>
      <c r="DR218" s="161">
        <v>1140</v>
      </c>
      <c r="DS218" s="116">
        <v>0</v>
      </c>
      <c r="DT218" s="116">
        <v>-48</v>
      </c>
      <c r="DU218" s="116">
        <v>0</v>
      </c>
      <c r="DV218" s="116">
        <v>0</v>
      </c>
      <c r="DW218" s="160">
        <v>1092</v>
      </c>
      <c r="DX218" s="160">
        <v>-417</v>
      </c>
      <c r="DY218" s="116">
        <v>2907</v>
      </c>
      <c r="DZ218" s="150"/>
      <c r="EA218" s="117">
        <v>-71</v>
      </c>
      <c r="EB218" s="116">
        <v>-4451</v>
      </c>
      <c r="EC218" s="159">
        <v>-192</v>
      </c>
      <c r="EE218" s="125"/>
      <c r="EF218" s="161"/>
      <c r="EG218" s="124"/>
      <c r="EH218" s="253">
        <v>22.5</v>
      </c>
      <c r="EI218" s="130"/>
      <c r="EJ218" s="125">
        <v>102</v>
      </c>
      <c r="EK218" s="116"/>
      <c r="EL218" s="159"/>
      <c r="EN218" s="116"/>
      <c r="EO218" s="116"/>
      <c r="EP218" s="159"/>
      <c r="EQ218" s="159">
        <v>-1280</v>
      </c>
      <c r="ER218" s="116">
        <v>21</v>
      </c>
      <c r="ES218" s="116">
        <v>22</v>
      </c>
      <c r="ET218" s="160">
        <v>-8223</v>
      </c>
      <c r="EU218" s="116">
        <v>160</v>
      </c>
      <c r="EV218" s="116">
        <v>2095</v>
      </c>
      <c r="EW218" s="160">
        <v>-3459</v>
      </c>
      <c r="EX218" s="160">
        <v>285</v>
      </c>
      <c r="EY218" s="160">
        <v>75</v>
      </c>
      <c r="EZ218" s="116">
        <v>124</v>
      </c>
      <c r="FA218" s="116">
        <v>4125</v>
      </c>
      <c r="FB218" s="116">
        <v>7321</v>
      </c>
      <c r="FC218" s="160">
        <v>-1612</v>
      </c>
      <c r="FD218" s="116">
        <v>6693</v>
      </c>
      <c r="FE218" s="116">
        <v>-3065</v>
      </c>
      <c r="FF218" s="3">
        <v>31030</v>
      </c>
      <c r="FG218" s="3">
        <v>22675</v>
      </c>
      <c r="FH218" s="3">
        <v>8355</v>
      </c>
      <c r="FI218" s="3">
        <v>424</v>
      </c>
      <c r="FJ218" s="125">
        <v>33038</v>
      </c>
      <c r="FK218" s="160">
        <v>26273</v>
      </c>
      <c r="FL218" s="125">
        <v>6765</v>
      </c>
      <c r="FM218" s="116">
        <v>356</v>
      </c>
      <c r="FN218" s="125">
        <v>32023</v>
      </c>
      <c r="FO218" s="116">
        <v>28225</v>
      </c>
      <c r="FP218" s="116">
        <v>3798</v>
      </c>
      <c r="FQ218" s="116">
        <v>-71</v>
      </c>
      <c r="FR218" s="153">
        <v>157</v>
      </c>
      <c r="FS218" s="153">
        <v>142</v>
      </c>
      <c r="FT218" s="276">
        <v>127</v>
      </c>
      <c r="FU218" s="3">
        <v>3651</v>
      </c>
      <c r="FV218" s="159">
        <v>3099</v>
      </c>
      <c r="FW218" s="170"/>
      <c r="FZ218" s="155"/>
      <c r="GA218" s="2"/>
      <c r="GD218" s="163"/>
      <c r="GE218" s="2"/>
      <c r="GF218" s="2"/>
    </row>
    <row r="219" spans="1:188" ht="14.5" x14ac:dyDescent="0.35">
      <c r="A219" s="72">
        <v>694</v>
      </c>
      <c r="B219" s="70" t="s">
        <v>210</v>
      </c>
      <c r="C219" s="158">
        <v>28736</v>
      </c>
      <c r="D219" s="171"/>
      <c r="E219" s="128">
        <v>0.74653756587817133</v>
      </c>
      <c r="F219" s="128">
        <v>84.89374591291859</v>
      </c>
      <c r="G219" s="129">
        <v>-6107.8090200445431</v>
      </c>
      <c r="H219" s="216"/>
      <c r="I219" s="172"/>
      <c r="J219" s="218"/>
      <c r="K219" s="128">
        <v>29.203069831788692</v>
      </c>
      <c r="L219" s="129">
        <v>861.60217149220489</v>
      </c>
      <c r="M219" s="129">
        <v>32.31124435529717</v>
      </c>
      <c r="N219" s="129">
        <v>9732.9830178173706</v>
      </c>
      <c r="O219" s="129"/>
      <c r="P219" s="117">
        <v>94081</v>
      </c>
      <c r="Q219" s="161">
        <v>224871</v>
      </c>
      <c r="R219" s="161">
        <v>23</v>
      </c>
      <c r="S219" s="161">
        <v>-130767</v>
      </c>
      <c r="T219" s="124">
        <v>119451</v>
      </c>
      <c r="U219" s="124">
        <v>35729</v>
      </c>
      <c r="V219" s="136"/>
      <c r="X219" s="116">
        <v>-996</v>
      </c>
      <c r="Y219" s="116">
        <v>-108</v>
      </c>
      <c r="Z219" s="161">
        <v>23309</v>
      </c>
      <c r="AA219" s="116">
        <v>13786</v>
      </c>
      <c r="AB219" s="116">
        <v>0</v>
      </c>
      <c r="AD219" s="161">
        <v>9523</v>
      </c>
      <c r="AE219" s="116">
        <v>-14</v>
      </c>
      <c r="AF219" s="116">
        <v>2</v>
      </c>
      <c r="AG219" s="116">
        <v>-578</v>
      </c>
      <c r="AH219" s="116">
        <v>-246</v>
      </c>
      <c r="AI219" s="160">
        <v>8687</v>
      </c>
      <c r="AJ219" s="161">
        <v>21458</v>
      </c>
      <c r="AK219" s="161">
        <v>21676</v>
      </c>
      <c r="AL219" s="150"/>
      <c r="AM219" s="161">
        <v>636</v>
      </c>
      <c r="AN219" s="161">
        <v>-31581</v>
      </c>
      <c r="AO219" s="160">
        <v>2074</v>
      </c>
      <c r="AQ219" s="160"/>
      <c r="AR219" s="117"/>
      <c r="AS219" s="117"/>
      <c r="AT219" s="99">
        <v>20.5</v>
      </c>
      <c r="AU219" s="130"/>
      <c r="AV219" s="262">
        <v>47</v>
      </c>
      <c r="AW219" s="267">
        <v>28793</v>
      </c>
      <c r="AX219" s="124"/>
      <c r="AY219" s="255">
        <v>0.54790073050151267</v>
      </c>
      <c r="AZ219" s="259">
        <v>71.87733466149632</v>
      </c>
      <c r="BA219" s="160">
        <v>-4905.9840933560245</v>
      </c>
      <c r="BB219" s="130"/>
      <c r="BC219" s="130"/>
      <c r="BD219" s="130"/>
      <c r="BE219" s="128">
        <v>43.886435063280388</v>
      </c>
      <c r="BF219" s="160">
        <v>1007.4323620324384</v>
      </c>
      <c r="BG219" s="129">
        <v>29.282647579176579</v>
      </c>
      <c r="BH219" s="131">
        <v>10718.369048032509</v>
      </c>
      <c r="BI219" s="124"/>
      <c r="BJ219" s="117">
        <v>95936</v>
      </c>
      <c r="BK219" s="117">
        <v>230660</v>
      </c>
      <c r="BL219" s="161">
        <v>15</v>
      </c>
      <c r="BM219" s="161">
        <v>-134709</v>
      </c>
      <c r="BN219" s="117">
        <v>121088</v>
      </c>
      <c r="BO219" s="117">
        <v>35957</v>
      </c>
      <c r="BP219" s="136"/>
      <c r="BR219" s="160">
        <v>-681</v>
      </c>
      <c r="BS219" s="160">
        <v>-205</v>
      </c>
      <c r="BT219" s="161">
        <v>21450</v>
      </c>
      <c r="BU219" s="125">
        <v>15467</v>
      </c>
      <c r="BV219" s="160">
        <v>46132</v>
      </c>
      <c r="BX219" s="161">
        <v>52115</v>
      </c>
      <c r="BY219" s="160">
        <v>-1567</v>
      </c>
      <c r="BZ219" s="160">
        <v>8</v>
      </c>
      <c r="CA219" s="160">
        <v>973</v>
      </c>
      <c r="CB219" s="160">
        <v>166</v>
      </c>
      <c r="CC219" s="160">
        <v>49749</v>
      </c>
      <c r="CD219" s="160">
        <v>70208</v>
      </c>
      <c r="CE219" s="116">
        <v>17018</v>
      </c>
      <c r="CF219" s="150"/>
      <c r="CG219" s="160">
        <v>-236</v>
      </c>
      <c r="CH219" s="160">
        <v>-39831</v>
      </c>
      <c r="CI219" s="159">
        <v>34048</v>
      </c>
      <c r="CK219" s="124"/>
      <c r="CL219" s="161"/>
      <c r="CM219" s="124"/>
      <c r="CN219" s="265">
        <v>20.5</v>
      </c>
      <c r="CO219" s="130"/>
      <c r="CP219" s="116">
        <v>48</v>
      </c>
      <c r="CQ219" s="267">
        <v>28710</v>
      </c>
      <c r="CR219" s="124"/>
      <c r="CS219" s="268">
        <v>1.2671392139213922</v>
      </c>
      <c r="CT219" s="269">
        <v>65.000074329547488</v>
      </c>
      <c r="CU219" s="160">
        <v>-4523.1278300243812</v>
      </c>
      <c r="CV219" s="130"/>
      <c r="CW219" s="130"/>
      <c r="CX219" s="130"/>
      <c r="CY219" s="269">
        <v>47.055228259314028</v>
      </c>
      <c r="CZ219" s="125">
        <v>1110.4841518634623</v>
      </c>
      <c r="DA219" s="125">
        <v>41.250203824094491</v>
      </c>
      <c r="DB219" s="273">
        <v>9826.053639846743</v>
      </c>
      <c r="DC219" s="124"/>
      <c r="DD219" s="117">
        <v>95505</v>
      </c>
      <c r="DE219" s="117">
        <v>235632</v>
      </c>
      <c r="DF219" s="117">
        <v>65</v>
      </c>
      <c r="DG219" s="117">
        <v>-140062</v>
      </c>
      <c r="DH219" s="117">
        <v>125762</v>
      </c>
      <c r="DI219" s="117">
        <v>47805</v>
      </c>
      <c r="DJ219" s="136"/>
      <c r="DL219" s="160">
        <v>-921</v>
      </c>
      <c r="DM219" s="160">
        <v>152</v>
      </c>
      <c r="DN219" s="161">
        <v>32736</v>
      </c>
      <c r="DO219" s="116">
        <v>16721</v>
      </c>
      <c r="DP219" s="160">
        <v>0</v>
      </c>
      <c r="DR219" s="161">
        <v>16015</v>
      </c>
      <c r="DS219" s="116">
        <v>-1419</v>
      </c>
      <c r="DT219" s="116">
        <v>55</v>
      </c>
      <c r="DU219" s="116">
        <v>922</v>
      </c>
      <c r="DV219" s="116">
        <v>33</v>
      </c>
      <c r="DW219" s="160">
        <v>13762</v>
      </c>
      <c r="DX219" s="160">
        <v>83970</v>
      </c>
      <c r="DY219" s="116">
        <v>30319</v>
      </c>
      <c r="DZ219" s="150"/>
      <c r="EA219" s="116">
        <v>-1670</v>
      </c>
      <c r="EB219" s="116">
        <v>-25613</v>
      </c>
      <c r="EC219" s="159">
        <v>13214</v>
      </c>
      <c r="EE219" s="125"/>
      <c r="EF219" s="161"/>
      <c r="EG219" s="124"/>
      <c r="EH219" s="253">
        <v>20.5</v>
      </c>
      <c r="EI219" s="130"/>
      <c r="EJ219" s="125">
        <v>96</v>
      </c>
      <c r="EK219" s="116"/>
      <c r="EL219" s="159"/>
      <c r="EN219" s="116"/>
      <c r="EO219" s="116"/>
      <c r="EP219" s="159"/>
      <c r="EQ219" s="159">
        <v>-21804</v>
      </c>
      <c r="ER219" s="116">
        <v>135</v>
      </c>
      <c r="ES219" s="116">
        <v>2067</v>
      </c>
      <c r="ET219" s="160">
        <v>-37033</v>
      </c>
      <c r="EU219" s="116">
        <v>72</v>
      </c>
      <c r="EV219" s="116">
        <v>53991</v>
      </c>
      <c r="EW219" s="160">
        <v>-19787</v>
      </c>
      <c r="EX219" s="160">
        <v>1705</v>
      </c>
      <c r="EY219" s="160">
        <v>977</v>
      </c>
      <c r="EZ219" s="116">
        <v>21460</v>
      </c>
      <c r="FA219" s="116">
        <v>3553</v>
      </c>
      <c r="FB219" s="116">
        <v>12443</v>
      </c>
      <c r="FC219" s="160">
        <v>-2791</v>
      </c>
      <c r="FD219" s="116">
        <v>3343</v>
      </c>
      <c r="FE219" s="116">
        <v>13000</v>
      </c>
      <c r="FF219" s="3">
        <v>164776</v>
      </c>
      <c r="FG219" s="3">
        <v>133351</v>
      </c>
      <c r="FH219" s="3">
        <v>31425</v>
      </c>
      <c r="FI219" s="3">
        <v>112</v>
      </c>
      <c r="FJ219" s="125">
        <v>134597</v>
      </c>
      <c r="FK219" s="160">
        <v>108110</v>
      </c>
      <c r="FL219" s="125">
        <v>26487</v>
      </c>
      <c r="FM219" s="116">
        <v>99</v>
      </c>
      <c r="FN219" s="125">
        <v>125327</v>
      </c>
      <c r="FO219" s="116">
        <v>85918</v>
      </c>
      <c r="FP219" s="116">
        <v>39409</v>
      </c>
      <c r="FQ219" s="116">
        <v>-1670</v>
      </c>
      <c r="FR219" s="153">
        <v>5087</v>
      </c>
      <c r="FS219" s="153">
        <v>4930</v>
      </c>
      <c r="FT219" s="276">
        <v>5384</v>
      </c>
      <c r="FU219" s="3">
        <v>8562</v>
      </c>
      <c r="FV219" s="159">
        <v>8752</v>
      </c>
      <c r="FW219" s="170"/>
      <c r="FZ219" s="155"/>
      <c r="GA219" s="2"/>
      <c r="GD219" s="163"/>
      <c r="GE219" s="2"/>
      <c r="GF219" s="2"/>
    </row>
    <row r="220" spans="1:188" ht="14.5" x14ac:dyDescent="0.35">
      <c r="A220" s="72">
        <v>697</v>
      </c>
      <c r="B220" s="70" t="s">
        <v>211</v>
      </c>
      <c r="C220" s="158">
        <v>1288</v>
      </c>
      <c r="D220" s="171"/>
      <c r="E220" s="128">
        <v>0.49774266365688485</v>
      </c>
      <c r="F220" s="128">
        <v>44.185948140941584</v>
      </c>
      <c r="G220" s="129">
        <v>-5333.8509316770187</v>
      </c>
      <c r="H220" s="216"/>
      <c r="I220" s="172"/>
      <c r="J220" s="218"/>
      <c r="K220" s="128">
        <v>30.222050090369223</v>
      </c>
      <c r="L220" s="129">
        <v>1612.5776397515529</v>
      </c>
      <c r="M220" s="129">
        <v>29.621576212245536</v>
      </c>
      <c r="N220" s="129">
        <v>19870.341614906833</v>
      </c>
      <c r="O220" s="129"/>
      <c r="P220" s="117">
        <v>13055</v>
      </c>
      <c r="Q220" s="161">
        <v>23193</v>
      </c>
      <c r="R220" s="161">
        <v>-1</v>
      </c>
      <c r="S220" s="161">
        <v>-10139</v>
      </c>
      <c r="T220" s="124">
        <v>4809</v>
      </c>
      <c r="U220" s="124">
        <v>5777</v>
      </c>
      <c r="V220" s="136"/>
      <c r="X220" s="116">
        <v>-35</v>
      </c>
      <c r="Y220" s="116">
        <v>-13</v>
      </c>
      <c r="Z220" s="161">
        <v>399</v>
      </c>
      <c r="AA220" s="116">
        <v>882</v>
      </c>
      <c r="AB220" s="116">
        <v>-1</v>
      </c>
      <c r="AD220" s="161">
        <v>-484</v>
      </c>
      <c r="AE220" s="117">
        <v>0</v>
      </c>
      <c r="AF220" s="117">
        <v>2</v>
      </c>
      <c r="AG220" s="116">
        <v>0</v>
      </c>
      <c r="AH220" s="116">
        <v>0</v>
      </c>
      <c r="AI220" s="160">
        <v>-482</v>
      </c>
      <c r="AJ220" s="161">
        <v>1251</v>
      </c>
      <c r="AK220" s="161">
        <v>693</v>
      </c>
      <c r="AL220" s="150"/>
      <c r="AM220" s="161">
        <v>-409</v>
      </c>
      <c r="AN220" s="161">
        <v>-844</v>
      </c>
      <c r="AO220" s="160">
        <v>-660</v>
      </c>
      <c r="AQ220" s="160"/>
      <c r="AR220" s="117"/>
      <c r="AS220" s="117"/>
      <c r="AT220" s="99">
        <v>21.5</v>
      </c>
      <c r="AU220" s="130"/>
      <c r="AV220" s="262">
        <v>212</v>
      </c>
      <c r="AW220" s="267">
        <v>1272</v>
      </c>
      <c r="AX220" s="124"/>
      <c r="AY220" s="255">
        <v>1.3070017953321365</v>
      </c>
      <c r="AZ220" s="259">
        <v>52.24716716886644</v>
      </c>
      <c r="BA220" s="160">
        <v>-6275.9433962264147</v>
      </c>
      <c r="BB220" s="130"/>
      <c r="BC220" s="130"/>
      <c r="BD220" s="130"/>
      <c r="BE220" s="128">
        <v>26.427947598253276</v>
      </c>
      <c r="BF220" s="160">
        <v>2374.2138364779876</v>
      </c>
      <c r="BG220" s="129">
        <v>30.09547439460103</v>
      </c>
      <c r="BH220" s="131">
        <v>19803.459119496856</v>
      </c>
      <c r="BI220" s="124"/>
      <c r="BJ220" s="117">
        <v>12568</v>
      </c>
      <c r="BK220" s="117">
        <v>22852</v>
      </c>
      <c r="BL220" s="161">
        <v>6</v>
      </c>
      <c r="BM220" s="161">
        <v>-10278</v>
      </c>
      <c r="BN220" s="117">
        <v>4944</v>
      </c>
      <c r="BO220" s="117">
        <v>6051</v>
      </c>
      <c r="BP220" s="136"/>
      <c r="BR220" s="160">
        <v>-40</v>
      </c>
      <c r="BS220" s="160">
        <v>8</v>
      </c>
      <c r="BT220" s="161">
        <v>685</v>
      </c>
      <c r="BU220" s="125">
        <v>820</v>
      </c>
      <c r="BV220" s="160">
        <v>0</v>
      </c>
      <c r="BX220" s="161">
        <v>-135</v>
      </c>
      <c r="BY220" s="161">
        <v>-4</v>
      </c>
      <c r="BZ220" s="161">
        <v>2</v>
      </c>
      <c r="CA220" s="160">
        <v>0</v>
      </c>
      <c r="CB220" s="160">
        <v>-8</v>
      </c>
      <c r="CC220" s="160">
        <v>-145</v>
      </c>
      <c r="CD220" s="160">
        <v>1095</v>
      </c>
      <c r="CE220" s="116">
        <v>596</v>
      </c>
      <c r="CF220" s="150"/>
      <c r="CG220" s="161">
        <v>186</v>
      </c>
      <c r="CH220" s="160">
        <v>-514</v>
      </c>
      <c r="CI220" s="159">
        <v>-1101</v>
      </c>
      <c r="CK220" s="124"/>
      <c r="CL220" s="161"/>
      <c r="CM220" s="124"/>
      <c r="CN220" s="265">
        <v>21.5</v>
      </c>
      <c r="CO220" s="130"/>
      <c r="CP220" s="116">
        <v>108</v>
      </c>
      <c r="CQ220" s="267">
        <v>1235</v>
      </c>
      <c r="CR220" s="124"/>
      <c r="CS220" s="268">
        <v>1.4653979238754324</v>
      </c>
      <c r="CT220" s="269">
        <v>50.281673259019534</v>
      </c>
      <c r="CU220" s="160">
        <v>-6567.6113360323889</v>
      </c>
      <c r="CV220" s="130"/>
      <c r="CW220" s="130"/>
      <c r="CX220" s="130"/>
      <c r="CY220" s="269">
        <v>25.734064032304587</v>
      </c>
      <c r="CZ220" s="125">
        <v>2148.9878542510123</v>
      </c>
      <c r="DA220" s="125">
        <v>36.713029636928674</v>
      </c>
      <c r="DB220" s="273">
        <v>21365.182186234819</v>
      </c>
      <c r="DC220" s="124"/>
      <c r="DD220" s="117">
        <v>13633</v>
      </c>
      <c r="DE220" s="117">
        <v>24153</v>
      </c>
      <c r="DF220" s="117">
        <v>7</v>
      </c>
      <c r="DG220" s="117">
        <v>-10513</v>
      </c>
      <c r="DH220" s="117">
        <v>4906</v>
      </c>
      <c r="DI220" s="117">
        <v>6490</v>
      </c>
      <c r="DJ220" s="136"/>
      <c r="DL220" s="160">
        <v>-40</v>
      </c>
      <c r="DM220" s="160">
        <v>-46</v>
      </c>
      <c r="DN220" s="161">
        <v>797</v>
      </c>
      <c r="DO220" s="116">
        <v>871</v>
      </c>
      <c r="DP220" s="160">
        <v>0</v>
      </c>
      <c r="DR220" s="161">
        <v>-74</v>
      </c>
      <c r="DS220" s="117">
        <v>-3</v>
      </c>
      <c r="DT220" s="117">
        <v>0</v>
      </c>
      <c r="DU220" s="116">
        <v>3</v>
      </c>
      <c r="DV220" s="116">
        <v>-1</v>
      </c>
      <c r="DW220" s="160">
        <v>-81</v>
      </c>
      <c r="DX220" s="160">
        <v>1014</v>
      </c>
      <c r="DY220" s="116">
        <v>460</v>
      </c>
      <c r="DZ220" s="150"/>
      <c r="EA220" s="117">
        <v>-511</v>
      </c>
      <c r="EB220" s="116">
        <v>-528</v>
      </c>
      <c r="EC220" s="159">
        <v>-61</v>
      </c>
      <c r="EE220" s="125"/>
      <c r="EF220" s="161"/>
      <c r="EG220" s="124"/>
      <c r="EH220" s="253">
        <v>21.5</v>
      </c>
      <c r="EI220" s="130"/>
      <c r="EJ220" s="125">
        <v>265</v>
      </c>
      <c r="EK220" s="116"/>
      <c r="EL220" s="159"/>
      <c r="EN220" s="116"/>
      <c r="EO220" s="116"/>
      <c r="EP220" s="159"/>
      <c r="EQ220" s="159">
        <v>-1488</v>
      </c>
      <c r="ER220" s="116">
        <v>15</v>
      </c>
      <c r="ES220" s="116">
        <v>120</v>
      </c>
      <c r="ET220" s="160">
        <v>-1761</v>
      </c>
      <c r="EU220" s="116">
        <v>29</v>
      </c>
      <c r="EV220" s="116">
        <v>35</v>
      </c>
      <c r="EW220" s="160">
        <v>-1589</v>
      </c>
      <c r="EX220" s="160">
        <v>0</v>
      </c>
      <c r="EY220" s="160">
        <v>1068</v>
      </c>
      <c r="EZ220" s="116">
        <v>1134</v>
      </c>
      <c r="FA220" s="116">
        <v>399</v>
      </c>
      <c r="FB220" s="116">
        <v>2040</v>
      </c>
      <c r="FC220" s="160">
        <v>-58</v>
      </c>
      <c r="FD220" s="116">
        <v>1045</v>
      </c>
      <c r="FE220" s="116">
        <v>-400</v>
      </c>
      <c r="FF220" s="3">
        <v>7595</v>
      </c>
      <c r="FG220" s="3">
        <v>5463</v>
      </c>
      <c r="FH220" s="3">
        <v>2132</v>
      </c>
      <c r="FI220" s="3">
        <v>64</v>
      </c>
      <c r="FJ220" s="125">
        <v>9063</v>
      </c>
      <c r="FK220" s="160">
        <v>6974</v>
      </c>
      <c r="FL220" s="125">
        <v>2089</v>
      </c>
      <c r="FM220" s="116">
        <v>51</v>
      </c>
      <c r="FN220" s="125">
        <v>9179</v>
      </c>
      <c r="FO220" s="116">
        <v>7451</v>
      </c>
      <c r="FP220" s="116">
        <v>1728</v>
      </c>
      <c r="FQ220" s="116">
        <v>-511</v>
      </c>
      <c r="FR220" s="153">
        <v>410</v>
      </c>
      <c r="FS220" s="153">
        <v>351</v>
      </c>
      <c r="FT220" s="276">
        <v>351</v>
      </c>
      <c r="FU220" s="3">
        <v>191</v>
      </c>
      <c r="FV220" s="159">
        <v>248</v>
      </c>
      <c r="FW220" s="170"/>
      <c r="FZ220" s="155"/>
      <c r="GA220" s="2"/>
      <c r="GD220" s="163"/>
      <c r="GE220" s="2"/>
      <c r="GF220" s="2"/>
    </row>
    <row r="221" spans="1:188" ht="14.5" x14ac:dyDescent="0.35">
      <c r="A221" s="72">
        <v>698</v>
      </c>
      <c r="B221" s="70" t="s">
        <v>212</v>
      </c>
      <c r="C221" s="158">
        <v>62922</v>
      </c>
      <c r="D221" s="171"/>
      <c r="E221" s="128">
        <v>1.9956869396656167</v>
      </c>
      <c r="F221" s="128">
        <v>66.755828069381295</v>
      </c>
      <c r="G221" s="129">
        <v>-4110.8833158513708</v>
      </c>
      <c r="H221" s="216"/>
      <c r="I221" s="172"/>
      <c r="J221" s="218"/>
      <c r="K221" s="128">
        <v>46.788793611928874</v>
      </c>
      <c r="L221" s="129">
        <v>1346.1905215981692</v>
      </c>
      <c r="M221" s="129">
        <v>46.783471537088033</v>
      </c>
      <c r="N221" s="129">
        <v>10502.844791964655</v>
      </c>
      <c r="O221" s="129"/>
      <c r="P221" s="117">
        <v>222607</v>
      </c>
      <c r="Q221" s="161">
        <v>546469</v>
      </c>
      <c r="R221" s="161">
        <v>2392</v>
      </c>
      <c r="S221" s="161">
        <v>-321470</v>
      </c>
      <c r="T221" s="124">
        <v>243846</v>
      </c>
      <c r="U221" s="124">
        <v>116759</v>
      </c>
      <c r="V221" s="136"/>
      <c r="X221" s="116">
        <v>-1702</v>
      </c>
      <c r="Y221" s="116">
        <v>273</v>
      </c>
      <c r="Z221" s="161">
        <v>37706</v>
      </c>
      <c r="AA221" s="116">
        <v>41861</v>
      </c>
      <c r="AB221" s="117">
        <v>482</v>
      </c>
      <c r="AD221" s="161">
        <v>-3673</v>
      </c>
      <c r="AE221" s="117">
        <v>-12</v>
      </c>
      <c r="AF221" s="117">
        <v>-800</v>
      </c>
      <c r="AG221" s="116">
        <v>-1477</v>
      </c>
      <c r="AH221" s="116">
        <v>-1297</v>
      </c>
      <c r="AI221" s="160">
        <v>-7259</v>
      </c>
      <c r="AJ221" s="161">
        <v>122201</v>
      </c>
      <c r="AK221" s="161">
        <v>31284</v>
      </c>
      <c r="AL221" s="150"/>
      <c r="AM221" s="161">
        <v>-1509</v>
      </c>
      <c r="AN221" s="161">
        <v>-17160</v>
      </c>
      <c r="AO221" s="160">
        <v>-33856</v>
      </c>
      <c r="AQ221" s="160"/>
      <c r="AR221" s="117"/>
      <c r="AS221" s="117"/>
      <c r="AT221" s="99">
        <v>21</v>
      </c>
      <c r="AU221" s="130"/>
      <c r="AV221" s="262">
        <v>112</v>
      </c>
      <c r="AW221" s="267">
        <v>63042</v>
      </c>
      <c r="AX221" s="124"/>
      <c r="AY221" s="255">
        <v>1.5286061807370033</v>
      </c>
      <c r="AZ221" s="259">
        <v>73.657016307090331</v>
      </c>
      <c r="BA221" s="160">
        <v>-4658.7037213286376</v>
      </c>
      <c r="BB221" s="130"/>
      <c r="BC221" s="130"/>
      <c r="BD221" s="130"/>
      <c r="BE221" s="128">
        <v>42.574870460767485</v>
      </c>
      <c r="BF221" s="160">
        <v>1717.6485517591448</v>
      </c>
      <c r="BG221" s="129">
        <v>47.12288523090993</v>
      </c>
      <c r="BH221" s="131">
        <v>10407.347482630626</v>
      </c>
      <c r="BI221" s="124"/>
      <c r="BJ221" s="117">
        <v>224845</v>
      </c>
      <c r="BK221" s="117">
        <v>568699</v>
      </c>
      <c r="BL221" s="161">
        <v>2913</v>
      </c>
      <c r="BM221" s="161">
        <v>-340941</v>
      </c>
      <c r="BN221" s="117">
        <v>250787</v>
      </c>
      <c r="BO221" s="117">
        <v>120857</v>
      </c>
      <c r="BP221" s="136"/>
      <c r="BR221" s="160">
        <v>-4031</v>
      </c>
      <c r="BS221" s="160">
        <v>2066</v>
      </c>
      <c r="BT221" s="161">
        <v>28738</v>
      </c>
      <c r="BU221" s="125">
        <v>47548</v>
      </c>
      <c r="BV221" s="161">
        <v>0</v>
      </c>
      <c r="BW221" s="117"/>
      <c r="BX221" s="161">
        <v>-18810</v>
      </c>
      <c r="BY221" s="161">
        <v>-11</v>
      </c>
      <c r="BZ221" s="160">
        <v>-389</v>
      </c>
      <c r="CA221" s="160">
        <v>1186</v>
      </c>
      <c r="CB221" s="160">
        <v>-584</v>
      </c>
      <c r="CC221" s="160">
        <v>-20980</v>
      </c>
      <c r="CD221" s="160">
        <v>100558</v>
      </c>
      <c r="CE221" s="116">
        <v>22444</v>
      </c>
      <c r="CF221" s="150"/>
      <c r="CG221" s="161">
        <v>8580</v>
      </c>
      <c r="CH221" s="160">
        <v>-17004</v>
      </c>
      <c r="CI221" s="159">
        <v>-35380</v>
      </c>
      <c r="CK221" s="124"/>
      <c r="CL221" s="161"/>
      <c r="CM221" s="124"/>
      <c r="CN221" s="265">
        <v>21</v>
      </c>
      <c r="CO221" s="130"/>
      <c r="CP221" s="116">
        <v>138</v>
      </c>
      <c r="CQ221" s="267">
        <v>63528</v>
      </c>
      <c r="CR221" s="124"/>
      <c r="CS221" s="268">
        <v>2.3269615623490441</v>
      </c>
      <c r="CT221" s="269">
        <v>76.006999696975953</v>
      </c>
      <c r="CU221" s="160">
        <v>-4823.8729379171391</v>
      </c>
      <c r="CV221" s="130"/>
      <c r="CW221" s="130"/>
      <c r="CX221" s="130"/>
      <c r="CY221" s="269">
        <v>41.583856058104985</v>
      </c>
      <c r="CZ221" s="125">
        <v>2049.2223901271882</v>
      </c>
      <c r="DA221" s="125">
        <v>69.050656548629362</v>
      </c>
      <c r="DB221" s="273">
        <v>10832.137010452085</v>
      </c>
      <c r="DC221" s="124"/>
      <c r="DD221" s="117">
        <v>212211</v>
      </c>
      <c r="DE221" s="117">
        <v>566292</v>
      </c>
      <c r="DF221" s="117">
        <v>1098</v>
      </c>
      <c r="DG221" s="117">
        <v>-352983</v>
      </c>
      <c r="DH221" s="117">
        <v>265605</v>
      </c>
      <c r="DI221" s="117">
        <v>152497</v>
      </c>
      <c r="DJ221" s="136"/>
      <c r="DL221" s="160">
        <v>-3371</v>
      </c>
      <c r="DM221" s="160">
        <v>729</v>
      </c>
      <c r="DN221" s="161">
        <v>62477</v>
      </c>
      <c r="DO221" s="116">
        <v>46661</v>
      </c>
      <c r="DP221" s="161">
        <v>0</v>
      </c>
      <c r="DQ221" s="117"/>
      <c r="DR221" s="161">
        <v>15816</v>
      </c>
      <c r="DS221" s="117">
        <v>165</v>
      </c>
      <c r="DT221" s="116">
        <v>-701</v>
      </c>
      <c r="DU221" s="116">
        <v>1045</v>
      </c>
      <c r="DV221" s="116">
        <v>237</v>
      </c>
      <c r="DW221" s="160">
        <v>14472</v>
      </c>
      <c r="DX221" s="160">
        <v>115031</v>
      </c>
      <c r="DY221" s="116">
        <v>58766</v>
      </c>
      <c r="DZ221" s="150"/>
      <c r="EA221" s="117">
        <v>-1907</v>
      </c>
      <c r="EB221" s="116">
        <v>-24019</v>
      </c>
      <c r="EC221" s="159">
        <v>-14679</v>
      </c>
      <c r="EE221" s="125"/>
      <c r="EF221" s="161"/>
      <c r="EG221" s="124"/>
      <c r="EH221" s="253">
        <v>21.5</v>
      </c>
      <c r="EI221" s="130"/>
      <c r="EJ221" s="125">
        <v>136</v>
      </c>
      <c r="EK221" s="116"/>
      <c r="EL221" s="159"/>
      <c r="EN221" s="116"/>
      <c r="EO221" s="116"/>
      <c r="EP221" s="159"/>
      <c r="EQ221" s="159">
        <v>-92925</v>
      </c>
      <c r="ER221" s="116">
        <v>417</v>
      </c>
      <c r="ES221" s="116">
        <v>27368</v>
      </c>
      <c r="ET221" s="160">
        <v>-64900</v>
      </c>
      <c r="EU221" s="116">
        <v>641</v>
      </c>
      <c r="EV221" s="116">
        <v>6435</v>
      </c>
      <c r="EW221" s="160">
        <v>-91578</v>
      </c>
      <c r="EX221" s="160">
        <v>1061</v>
      </c>
      <c r="EY221" s="160">
        <v>17072</v>
      </c>
      <c r="EZ221" s="116">
        <v>62959</v>
      </c>
      <c r="FA221" s="116">
        <v>-4411</v>
      </c>
      <c r="FB221" s="116">
        <v>68447</v>
      </c>
      <c r="FC221" s="160">
        <v>-330</v>
      </c>
      <c r="FD221" s="116">
        <v>63741</v>
      </c>
      <c r="FE221" s="116">
        <v>-4912</v>
      </c>
      <c r="FF221" s="3">
        <v>268704</v>
      </c>
      <c r="FG221" s="3">
        <v>227111</v>
      </c>
      <c r="FH221" s="3">
        <v>41593</v>
      </c>
      <c r="FI221" s="3">
        <v>870</v>
      </c>
      <c r="FJ221" s="125">
        <v>319817</v>
      </c>
      <c r="FK221" s="160">
        <v>271130</v>
      </c>
      <c r="FL221" s="125">
        <v>48687</v>
      </c>
      <c r="FM221" s="116">
        <v>846</v>
      </c>
      <c r="FN221" s="125">
        <v>354628</v>
      </c>
      <c r="FO221" s="116">
        <v>309470</v>
      </c>
      <c r="FP221" s="116">
        <v>45158</v>
      </c>
      <c r="FQ221" s="116">
        <v>-1907</v>
      </c>
      <c r="FR221" s="153">
        <v>68316</v>
      </c>
      <c r="FS221" s="153">
        <v>13462</v>
      </c>
      <c r="FT221" s="276">
        <v>12866</v>
      </c>
      <c r="FU221" s="3">
        <v>50485</v>
      </c>
      <c r="FV221" s="159">
        <v>53856</v>
      </c>
      <c r="FW221" s="170"/>
      <c r="FZ221" s="155"/>
      <c r="GA221" s="2"/>
      <c r="GD221" s="163"/>
      <c r="GE221" s="2"/>
      <c r="GF221" s="2"/>
    </row>
    <row r="222" spans="1:188" ht="14.5" x14ac:dyDescent="0.35">
      <c r="A222" s="72">
        <v>700</v>
      </c>
      <c r="B222" s="70" t="s">
        <v>213</v>
      </c>
      <c r="C222" s="158">
        <v>5099</v>
      </c>
      <c r="D222" s="171"/>
      <c r="E222" s="128">
        <v>1.2541666666666667</v>
      </c>
      <c r="F222" s="128">
        <v>52.184486804021304</v>
      </c>
      <c r="G222" s="129">
        <v>-4292.6063934104723</v>
      </c>
      <c r="H222" s="216"/>
      <c r="I222" s="172"/>
      <c r="J222" s="218"/>
      <c r="K222" s="128">
        <v>45.390046195415323</v>
      </c>
      <c r="L222" s="129">
        <v>1116.6895469699939</v>
      </c>
      <c r="M222" s="129">
        <v>30.829056279111164</v>
      </c>
      <c r="N222" s="129">
        <v>13221.023730143166</v>
      </c>
      <c r="O222" s="129"/>
      <c r="P222" s="117">
        <v>25505</v>
      </c>
      <c r="Q222" s="161">
        <v>56010</v>
      </c>
      <c r="R222" s="161">
        <v>7</v>
      </c>
      <c r="S222" s="161">
        <v>-30498</v>
      </c>
      <c r="T222" s="124">
        <v>20835</v>
      </c>
      <c r="U222" s="124">
        <v>12049</v>
      </c>
      <c r="V222" s="136"/>
      <c r="X222" s="116">
        <v>-153</v>
      </c>
      <c r="Y222" s="116">
        <v>17</v>
      </c>
      <c r="Z222" s="161">
        <v>2250</v>
      </c>
      <c r="AA222" s="116">
        <v>2724</v>
      </c>
      <c r="AB222" s="116">
        <v>0</v>
      </c>
      <c r="AD222" s="161">
        <v>-474</v>
      </c>
      <c r="AE222" s="117">
        <v>201</v>
      </c>
      <c r="AF222" s="117">
        <v>4</v>
      </c>
      <c r="AG222" s="116">
        <v>0</v>
      </c>
      <c r="AH222" s="116">
        <v>-1</v>
      </c>
      <c r="AI222" s="160">
        <v>-270</v>
      </c>
      <c r="AJ222" s="161">
        <v>12233</v>
      </c>
      <c r="AK222" s="161">
        <v>2226</v>
      </c>
      <c r="AL222" s="150"/>
      <c r="AM222" s="161">
        <v>655</v>
      </c>
      <c r="AN222" s="161">
        <v>-1762</v>
      </c>
      <c r="AO222" s="160">
        <v>-6887</v>
      </c>
      <c r="AQ222" s="160"/>
      <c r="AR222" s="117"/>
      <c r="AS222" s="117"/>
      <c r="AT222" s="99">
        <v>20.5</v>
      </c>
      <c r="AU222" s="130"/>
      <c r="AV222" s="262">
        <v>164</v>
      </c>
      <c r="AW222" s="267">
        <v>4994</v>
      </c>
      <c r="AX222" s="124"/>
      <c r="AY222" s="255">
        <v>1.9070749736008448</v>
      </c>
      <c r="AZ222" s="259">
        <v>47.527639207226642</v>
      </c>
      <c r="BA222" s="160">
        <v>-3874.6495794953944</v>
      </c>
      <c r="BB222" s="130"/>
      <c r="BC222" s="130"/>
      <c r="BD222" s="130"/>
      <c r="BE222" s="128">
        <v>46.910186141803983</v>
      </c>
      <c r="BF222" s="160">
        <v>1164.5975170204247</v>
      </c>
      <c r="BG222" s="129">
        <v>34.842911748927044</v>
      </c>
      <c r="BH222" s="131">
        <v>11943.932719263115</v>
      </c>
      <c r="BI222" s="124"/>
      <c r="BJ222" s="117">
        <v>25991</v>
      </c>
      <c r="BK222" s="117">
        <v>55752</v>
      </c>
      <c r="BL222" s="161">
        <v>3</v>
      </c>
      <c r="BM222" s="161">
        <v>-29758</v>
      </c>
      <c r="BN222" s="117">
        <v>21035</v>
      </c>
      <c r="BO222" s="117">
        <v>12310</v>
      </c>
      <c r="BP222" s="136"/>
      <c r="BR222" s="160">
        <v>-183</v>
      </c>
      <c r="BS222" s="160">
        <v>18</v>
      </c>
      <c r="BT222" s="161">
        <v>3422</v>
      </c>
      <c r="BU222" s="125">
        <v>2913</v>
      </c>
      <c r="BV222" s="160">
        <v>285</v>
      </c>
      <c r="BX222" s="161">
        <v>794</v>
      </c>
      <c r="BY222" s="161">
        <v>10</v>
      </c>
      <c r="BZ222" s="161">
        <v>9</v>
      </c>
      <c r="CA222" s="160">
        <v>0</v>
      </c>
      <c r="CB222" s="160">
        <v>-1</v>
      </c>
      <c r="CC222" s="160">
        <v>812</v>
      </c>
      <c r="CD222" s="160">
        <v>13031</v>
      </c>
      <c r="CE222" s="116">
        <v>3861</v>
      </c>
      <c r="CF222" s="150"/>
      <c r="CG222" s="161">
        <v>-146</v>
      </c>
      <c r="CH222" s="160">
        <v>-1704</v>
      </c>
      <c r="CI222" s="159">
        <v>2561</v>
      </c>
      <c r="CK222" s="124"/>
      <c r="CL222" s="161"/>
      <c r="CM222" s="124"/>
      <c r="CN222" s="265">
        <v>20.5</v>
      </c>
      <c r="CO222" s="130"/>
      <c r="CP222" s="116">
        <v>65</v>
      </c>
      <c r="CQ222" s="267">
        <v>4922</v>
      </c>
      <c r="CR222" s="124"/>
      <c r="CS222" s="268">
        <v>2.0574521232306413</v>
      </c>
      <c r="CT222" s="269">
        <v>43.386732061530623</v>
      </c>
      <c r="CU222" s="160">
        <v>-3228.7687931735063</v>
      </c>
      <c r="CV222" s="130"/>
      <c r="CW222" s="130"/>
      <c r="CX222" s="130"/>
      <c r="CY222" s="269">
        <v>49.98295318945825</v>
      </c>
      <c r="CZ222" s="125">
        <v>1716.1722876879317</v>
      </c>
      <c r="DA222" s="125">
        <v>49.966048132242122</v>
      </c>
      <c r="DB222" s="273">
        <v>12536.570499796831</v>
      </c>
      <c r="DC222" s="124"/>
      <c r="DD222" s="117">
        <v>27080</v>
      </c>
      <c r="DE222" s="117">
        <v>57753</v>
      </c>
      <c r="DF222" s="117">
        <v>6</v>
      </c>
      <c r="DG222" s="117">
        <v>-30667</v>
      </c>
      <c r="DH222" s="117">
        <v>21417</v>
      </c>
      <c r="DI222" s="117">
        <v>14301</v>
      </c>
      <c r="DJ222" s="136"/>
      <c r="DL222" s="160">
        <v>-167</v>
      </c>
      <c r="DM222" s="160">
        <v>-115</v>
      </c>
      <c r="DN222" s="161">
        <v>4769</v>
      </c>
      <c r="DO222" s="116">
        <v>2742</v>
      </c>
      <c r="DP222" s="160">
        <v>37</v>
      </c>
      <c r="DR222" s="161">
        <v>2064</v>
      </c>
      <c r="DS222" s="117">
        <v>8</v>
      </c>
      <c r="DT222" s="117">
        <v>4</v>
      </c>
      <c r="DU222" s="116">
        <v>0</v>
      </c>
      <c r="DV222" s="116">
        <v>0</v>
      </c>
      <c r="DW222" s="160">
        <v>2076</v>
      </c>
      <c r="DX222" s="160">
        <v>15575</v>
      </c>
      <c r="DY222" s="116">
        <v>4853</v>
      </c>
      <c r="DZ222" s="150"/>
      <c r="EA222" s="117">
        <v>126</v>
      </c>
      <c r="EB222" s="116">
        <v>-2229</v>
      </c>
      <c r="EC222" s="159">
        <v>3492</v>
      </c>
      <c r="EE222" s="125"/>
      <c r="EF222" s="161"/>
      <c r="EG222" s="124"/>
      <c r="EH222" s="253">
        <v>20.5</v>
      </c>
      <c r="EI222" s="130"/>
      <c r="EJ222" s="125">
        <v>140</v>
      </c>
      <c r="EK222" s="116"/>
      <c r="EL222" s="159"/>
      <c r="EN222" s="116"/>
      <c r="EO222" s="116"/>
      <c r="EP222" s="159"/>
      <c r="EQ222" s="159">
        <v>-9481</v>
      </c>
      <c r="ER222" s="116">
        <v>0</v>
      </c>
      <c r="ES222" s="116">
        <v>368</v>
      </c>
      <c r="ET222" s="160">
        <v>-1996</v>
      </c>
      <c r="EU222" s="116">
        <v>117</v>
      </c>
      <c r="EV222" s="116">
        <v>579</v>
      </c>
      <c r="EW222" s="160">
        <v>-1418</v>
      </c>
      <c r="EX222" s="160">
        <v>44</v>
      </c>
      <c r="EY222" s="160">
        <v>13</v>
      </c>
      <c r="EZ222" s="116">
        <v>8199</v>
      </c>
      <c r="FA222" s="116">
        <v>0</v>
      </c>
      <c r="FB222" s="116">
        <v>0</v>
      </c>
      <c r="FC222" s="160">
        <v>15</v>
      </c>
      <c r="FD222" s="116">
        <v>236</v>
      </c>
      <c r="FE222" s="116">
        <v>473</v>
      </c>
      <c r="FF222" s="3">
        <v>23694</v>
      </c>
      <c r="FG222" s="3">
        <v>21990</v>
      </c>
      <c r="FH222" s="3">
        <v>1704</v>
      </c>
      <c r="FI222" s="3">
        <v>716</v>
      </c>
      <c r="FJ222" s="125">
        <v>21989</v>
      </c>
      <c r="FK222" s="160">
        <v>20297</v>
      </c>
      <c r="FL222" s="125">
        <v>1692</v>
      </c>
      <c r="FM222" s="116">
        <v>716</v>
      </c>
      <c r="FN222" s="125">
        <v>20469</v>
      </c>
      <c r="FO222" s="116">
        <v>18622</v>
      </c>
      <c r="FP222" s="116">
        <v>1847</v>
      </c>
      <c r="FQ222" s="116">
        <v>126</v>
      </c>
      <c r="FR222" s="153">
        <v>231</v>
      </c>
      <c r="FS222" s="153">
        <v>192</v>
      </c>
      <c r="FT222" s="276">
        <v>143</v>
      </c>
      <c r="FU222" s="3">
        <v>721</v>
      </c>
      <c r="FV222" s="159">
        <v>669</v>
      </c>
      <c r="FW222" s="170"/>
      <c r="FZ222" s="155"/>
      <c r="GA222" s="2"/>
      <c r="GD222" s="163"/>
      <c r="GE222" s="2"/>
      <c r="GF222" s="2"/>
    </row>
    <row r="223" spans="1:188" ht="14.5" x14ac:dyDescent="0.35">
      <c r="A223" s="72">
        <v>702</v>
      </c>
      <c r="B223" s="70" t="s">
        <v>214</v>
      </c>
      <c r="C223" s="158">
        <v>4398</v>
      </c>
      <c r="D223" s="171"/>
      <c r="E223" s="128">
        <v>1.0194664744051911</v>
      </c>
      <c r="F223" s="128">
        <v>29.465635664607543</v>
      </c>
      <c r="G223" s="129">
        <v>-2060.2546612096407</v>
      </c>
      <c r="H223" s="216"/>
      <c r="I223" s="172"/>
      <c r="J223" s="218"/>
      <c r="K223" s="128">
        <v>53.689846269451138</v>
      </c>
      <c r="L223" s="129">
        <v>438.1537062301046</v>
      </c>
      <c r="M223" s="129">
        <v>14.190271557115764</v>
      </c>
      <c r="N223" s="129">
        <v>11270.122783083219</v>
      </c>
      <c r="O223" s="129"/>
      <c r="P223" s="117">
        <v>16090</v>
      </c>
      <c r="Q223" s="161">
        <v>44944</v>
      </c>
      <c r="R223" s="161">
        <v>3</v>
      </c>
      <c r="S223" s="161">
        <v>-28851</v>
      </c>
      <c r="T223" s="124">
        <v>16193</v>
      </c>
      <c r="U223" s="124">
        <v>14015</v>
      </c>
      <c r="V223" s="136"/>
      <c r="X223" s="116">
        <v>-88</v>
      </c>
      <c r="Y223" s="116">
        <v>50</v>
      </c>
      <c r="Z223" s="161">
        <v>1319</v>
      </c>
      <c r="AA223" s="116">
        <v>1831</v>
      </c>
      <c r="AB223" s="116">
        <v>6</v>
      </c>
      <c r="AD223" s="161">
        <v>-506</v>
      </c>
      <c r="AE223" s="117">
        <v>-35</v>
      </c>
      <c r="AF223" s="117">
        <v>0</v>
      </c>
      <c r="AG223" s="116">
        <v>-25</v>
      </c>
      <c r="AH223" s="116">
        <v>119</v>
      </c>
      <c r="AI223" s="160">
        <v>-447</v>
      </c>
      <c r="AJ223" s="161">
        <v>5590</v>
      </c>
      <c r="AK223" s="161">
        <v>1415</v>
      </c>
      <c r="AL223" s="150"/>
      <c r="AM223" s="161">
        <v>-922</v>
      </c>
      <c r="AN223" s="161">
        <v>-1292</v>
      </c>
      <c r="AO223" s="160">
        <v>-1182</v>
      </c>
      <c r="AQ223" s="160"/>
      <c r="AR223" s="117"/>
      <c r="AS223" s="117"/>
      <c r="AT223" s="99">
        <v>22</v>
      </c>
      <c r="AU223" s="130"/>
      <c r="AV223" s="262">
        <v>217</v>
      </c>
      <c r="AW223" s="267">
        <v>4283</v>
      </c>
      <c r="AX223" s="124"/>
      <c r="AY223" s="255">
        <v>1.0229485396383866</v>
      </c>
      <c r="AZ223" s="259">
        <v>41.862952741586973</v>
      </c>
      <c r="BA223" s="160">
        <v>-2553.3504552883492</v>
      </c>
      <c r="BB223" s="130"/>
      <c r="BC223" s="130"/>
      <c r="BD223" s="130"/>
      <c r="BE223" s="128">
        <v>45.473655841530793</v>
      </c>
      <c r="BF223" s="160">
        <v>1303.0586037823955</v>
      </c>
      <c r="BG223" s="129">
        <v>14.039862666427132</v>
      </c>
      <c r="BH223" s="131">
        <v>11696.707915012843</v>
      </c>
      <c r="BI223" s="124"/>
      <c r="BJ223" s="117">
        <v>16737</v>
      </c>
      <c r="BK223" s="117">
        <v>45424</v>
      </c>
      <c r="BL223" s="161">
        <v>14</v>
      </c>
      <c r="BM223" s="161">
        <v>-28673</v>
      </c>
      <c r="BN223" s="117">
        <v>16332</v>
      </c>
      <c r="BO223" s="117">
        <v>13674</v>
      </c>
      <c r="BP223" s="136"/>
      <c r="BR223" s="160">
        <v>-87</v>
      </c>
      <c r="BS223" s="160">
        <v>132</v>
      </c>
      <c r="BT223" s="161">
        <v>1378</v>
      </c>
      <c r="BU223" s="125">
        <v>1824</v>
      </c>
      <c r="BV223" s="160">
        <v>0</v>
      </c>
      <c r="BX223" s="161">
        <v>-446</v>
      </c>
      <c r="BY223" s="161">
        <v>-38</v>
      </c>
      <c r="BZ223" s="160">
        <v>-143</v>
      </c>
      <c r="CA223" s="160">
        <v>19</v>
      </c>
      <c r="CB223" s="160">
        <v>26</v>
      </c>
      <c r="CC223" s="160">
        <v>-620</v>
      </c>
      <c r="CD223" s="160">
        <v>4995</v>
      </c>
      <c r="CE223" s="116">
        <v>1383</v>
      </c>
      <c r="CF223" s="150"/>
      <c r="CG223" s="160">
        <v>-405</v>
      </c>
      <c r="CH223" s="160">
        <v>-1345</v>
      </c>
      <c r="CI223" s="159">
        <v>-1542</v>
      </c>
      <c r="CK223" s="124"/>
      <c r="CL223" s="161"/>
      <c r="CM223" s="124"/>
      <c r="CN223" s="265">
        <v>22</v>
      </c>
      <c r="CO223" s="130"/>
      <c r="CP223" s="116">
        <v>199</v>
      </c>
      <c r="CQ223" s="267">
        <v>4215</v>
      </c>
      <c r="CR223" s="124"/>
      <c r="CS223" s="268">
        <v>2.2044348296376421</v>
      </c>
      <c r="CT223" s="269">
        <v>41.109629781560862</v>
      </c>
      <c r="CU223" s="160">
        <v>-2637.7224199288257</v>
      </c>
      <c r="CV223" s="130"/>
      <c r="CW223" s="130"/>
      <c r="CX223" s="130"/>
      <c r="CY223" s="269">
        <v>47.18082150255141</v>
      </c>
      <c r="CZ223" s="125">
        <v>1290.1542111506526</v>
      </c>
      <c r="DA223" s="125">
        <v>38.553891575859993</v>
      </c>
      <c r="DB223" s="273">
        <v>12214.234875444839</v>
      </c>
      <c r="DC223" s="124"/>
      <c r="DD223" s="117">
        <v>17352</v>
      </c>
      <c r="DE223" s="117">
        <v>44784</v>
      </c>
      <c r="DF223" s="117">
        <v>31</v>
      </c>
      <c r="DG223" s="117">
        <v>-27401</v>
      </c>
      <c r="DH223" s="117">
        <v>16907</v>
      </c>
      <c r="DI223" s="117">
        <v>14496</v>
      </c>
      <c r="DJ223" s="136"/>
      <c r="DL223" s="160">
        <v>-155</v>
      </c>
      <c r="DM223" s="160">
        <v>70</v>
      </c>
      <c r="DN223" s="161">
        <v>3917</v>
      </c>
      <c r="DO223" s="116">
        <v>2034</v>
      </c>
      <c r="DP223" s="160">
        <v>0</v>
      </c>
      <c r="DR223" s="161">
        <v>1883</v>
      </c>
      <c r="DS223" s="117">
        <v>-112</v>
      </c>
      <c r="DT223" s="116">
        <v>0</v>
      </c>
      <c r="DU223" s="116">
        <v>61</v>
      </c>
      <c r="DV223" s="116">
        <v>-26</v>
      </c>
      <c r="DW223" s="160">
        <v>1684</v>
      </c>
      <c r="DX223" s="160">
        <v>6680</v>
      </c>
      <c r="DY223" s="116">
        <v>3876</v>
      </c>
      <c r="DZ223" s="150"/>
      <c r="EA223" s="116">
        <v>-501</v>
      </c>
      <c r="EB223" s="116">
        <v>-1690</v>
      </c>
      <c r="EC223" s="159">
        <v>-704</v>
      </c>
      <c r="EE223" s="125"/>
      <c r="EF223" s="161"/>
      <c r="EG223" s="124"/>
      <c r="EH223" s="253">
        <v>22</v>
      </c>
      <c r="EI223" s="130"/>
      <c r="EJ223" s="125">
        <v>169</v>
      </c>
      <c r="EK223" s="116"/>
      <c r="EL223" s="159"/>
      <c r="EN223" s="116"/>
      <c r="EO223" s="116"/>
      <c r="EP223" s="159"/>
      <c r="EQ223" s="159">
        <v>-2711</v>
      </c>
      <c r="ER223" s="116">
        <v>5</v>
      </c>
      <c r="ES223" s="116">
        <v>109</v>
      </c>
      <c r="ET223" s="160">
        <v>-3004</v>
      </c>
      <c r="EU223" s="116">
        <v>34</v>
      </c>
      <c r="EV223" s="116">
        <v>45</v>
      </c>
      <c r="EW223" s="160">
        <v>-4601</v>
      </c>
      <c r="EX223" s="160">
        <v>1</v>
      </c>
      <c r="EY223" s="160">
        <v>20</v>
      </c>
      <c r="EZ223" s="116">
        <v>1243</v>
      </c>
      <c r="FA223" s="116">
        <v>1022</v>
      </c>
      <c r="FB223" s="116">
        <v>6318</v>
      </c>
      <c r="FC223" s="160">
        <v>981</v>
      </c>
      <c r="FD223" s="116">
        <v>1127</v>
      </c>
      <c r="FE223" s="116">
        <v>1404</v>
      </c>
      <c r="FF223" s="3">
        <v>8835</v>
      </c>
      <c r="FG223" s="3">
        <v>6041</v>
      </c>
      <c r="FH223" s="3">
        <v>2794</v>
      </c>
      <c r="FI223" s="3">
        <v>516</v>
      </c>
      <c r="FJ223" s="125">
        <v>14482</v>
      </c>
      <c r="FK223" s="160">
        <v>10977</v>
      </c>
      <c r="FL223" s="125">
        <v>3505</v>
      </c>
      <c r="FM223" s="116">
        <v>572</v>
      </c>
      <c r="FN223" s="125">
        <v>14921</v>
      </c>
      <c r="FO223" s="116">
        <v>9726</v>
      </c>
      <c r="FP223" s="116">
        <v>5195</v>
      </c>
      <c r="FQ223" s="116">
        <v>-501</v>
      </c>
      <c r="FR223" s="153">
        <v>1785</v>
      </c>
      <c r="FS223" s="153">
        <v>1492</v>
      </c>
      <c r="FT223" s="276">
        <v>1395</v>
      </c>
      <c r="FU223" s="3">
        <v>1297</v>
      </c>
      <c r="FV223" s="159">
        <v>1658</v>
      </c>
      <c r="FW223" s="170"/>
      <c r="FZ223" s="155"/>
      <c r="GA223" s="2"/>
      <c r="GD223" s="163"/>
      <c r="GE223" s="2"/>
      <c r="GF223" s="2"/>
    </row>
    <row r="224" spans="1:188" ht="14.5" x14ac:dyDescent="0.35">
      <c r="A224" s="72">
        <v>704</v>
      </c>
      <c r="B224" s="70" t="s">
        <v>215</v>
      </c>
      <c r="C224" s="158">
        <v>6251</v>
      </c>
      <c r="D224" s="171"/>
      <c r="E224" s="128">
        <v>3.2065637065637067</v>
      </c>
      <c r="F224" s="128">
        <v>43.485729992212192</v>
      </c>
      <c r="G224" s="129">
        <v>-1246.3605823068308</v>
      </c>
      <c r="H224" s="216"/>
      <c r="I224" s="172"/>
      <c r="J224" s="218"/>
      <c r="K224" s="128">
        <v>63.626450802099505</v>
      </c>
      <c r="L224" s="129">
        <v>1296.112621980483</v>
      </c>
      <c r="M224" s="129">
        <v>68.23642069315612</v>
      </c>
      <c r="N224" s="129">
        <v>6932.9707246840508</v>
      </c>
      <c r="O224" s="129"/>
      <c r="P224" s="117">
        <v>13384</v>
      </c>
      <c r="Q224" s="161">
        <v>40362</v>
      </c>
      <c r="R224" s="161">
        <v>1</v>
      </c>
      <c r="S224" s="161">
        <v>-26977</v>
      </c>
      <c r="T224" s="124">
        <v>24756</v>
      </c>
      <c r="U224" s="124">
        <v>5518</v>
      </c>
      <c r="V224" s="136"/>
      <c r="X224" s="116">
        <v>-104</v>
      </c>
      <c r="Y224" s="116">
        <v>25</v>
      </c>
      <c r="Z224" s="161">
        <v>3218</v>
      </c>
      <c r="AA224" s="116">
        <v>2277</v>
      </c>
      <c r="AB224" s="116">
        <v>0</v>
      </c>
      <c r="AD224" s="161">
        <v>941</v>
      </c>
      <c r="AE224" s="116">
        <v>-4</v>
      </c>
      <c r="AF224" s="116">
        <v>0</v>
      </c>
      <c r="AG224" s="116">
        <v>0</v>
      </c>
      <c r="AH224" s="116">
        <v>-2</v>
      </c>
      <c r="AI224" s="160">
        <v>935</v>
      </c>
      <c r="AJ224" s="161">
        <v>15812</v>
      </c>
      <c r="AK224" s="161">
        <v>2638</v>
      </c>
      <c r="AL224" s="150"/>
      <c r="AM224" s="161">
        <v>600</v>
      </c>
      <c r="AN224" s="161">
        <v>-932</v>
      </c>
      <c r="AO224" s="160">
        <v>1450</v>
      </c>
      <c r="AQ224" s="160"/>
      <c r="AR224" s="117"/>
      <c r="AS224" s="117"/>
      <c r="AT224" s="99">
        <v>19.75</v>
      </c>
      <c r="AU224" s="130"/>
      <c r="AV224" s="262">
        <v>136</v>
      </c>
      <c r="AW224" s="267">
        <v>6327</v>
      </c>
      <c r="AX224" s="124"/>
      <c r="AY224" s="255">
        <v>0.73262032085561501</v>
      </c>
      <c r="AZ224" s="259">
        <v>47.359162973454559</v>
      </c>
      <c r="BA224" s="160">
        <v>-1883.1989884621462</v>
      </c>
      <c r="BB224" s="130"/>
      <c r="BC224" s="130"/>
      <c r="BD224" s="130"/>
      <c r="BE224" s="128">
        <v>60.84378521159281</v>
      </c>
      <c r="BF224" s="160">
        <v>993.36178283546701</v>
      </c>
      <c r="BG224" s="129">
        <v>59.642014400096805</v>
      </c>
      <c r="BH224" s="131">
        <v>7836.7314683104159</v>
      </c>
      <c r="BI224" s="124"/>
      <c r="BJ224" s="117">
        <v>14233</v>
      </c>
      <c r="BK224" s="117">
        <v>43164</v>
      </c>
      <c r="BL224" s="161">
        <v>8</v>
      </c>
      <c r="BM224" s="161">
        <v>-28923</v>
      </c>
      <c r="BN224" s="117">
        <v>24747</v>
      </c>
      <c r="BO224" s="117">
        <v>4794</v>
      </c>
      <c r="BP224" s="136"/>
      <c r="BR224" s="160">
        <v>-97</v>
      </c>
      <c r="BS224" s="160">
        <v>67</v>
      </c>
      <c r="BT224" s="161">
        <v>588</v>
      </c>
      <c r="BU224" s="125">
        <v>2295</v>
      </c>
      <c r="BV224" s="160">
        <v>0</v>
      </c>
      <c r="BX224" s="161">
        <v>-1707</v>
      </c>
      <c r="BY224" s="160">
        <v>0</v>
      </c>
      <c r="BZ224" s="160">
        <v>0</v>
      </c>
      <c r="CA224" s="160">
        <v>0</v>
      </c>
      <c r="CB224" s="160">
        <v>0</v>
      </c>
      <c r="CC224" s="160">
        <v>-1707</v>
      </c>
      <c r="CD224" s="160">
        <v>14049</v>
      </c>
      <c r="CE224" s="116">
        <v>124</v>
      </c>
      <c r="CF224" s="150"/>
      <c r="CG224" s="161">
        <v>564</v>
      </c>
      <c r="CH224" s="160">
        <v>-838</v>
      </c>
      <c r="CI224" s="159">
        <v>-4121</v>
      </c>
      <c r="CK224" s="124"/>
      <c r="CL224" s="161"/>
      <c r="CM224" s="124"/>
      <c r="CN224" s="265">
        <v>19.75</v>
      </c>
      <c r="CO224" s="130"/>
      <c r="CP224" s="116">
        <v>263</v>
      </c>
      <c r="CQ224" s="267">
        <v>6354</v>
      </c>
      <c r="CR224" s="124"/>
      <c r="CS224" s="268">
        <v>4.207597173144876</v>
      </c>
      <c r="CT224" s="269">
        <v>41.365355675763617</v>
      </c>
      <c r="CU224" s="160">
        <v>-1438.4639597104187</v>
      </c>
      <c r="CV224" s="130"/>
      <c r="CW224" s="130"/>
      <c r="CX224" s="130"/>
      <c r="CY224" s="269">
        <v>62.878706776576387</v>
      </c>
      <c r="CZ224" s="125">
        <v>1373.6229146994019</v>
      </c>
      <c r="DA224" s="125">
        <v>66.425905460914535</v>
      </c>
      <c r="DB224" s="273">
        <v>7547.8438778722066</v>
      </c>
      <c r="DC224" s="124"/>
      <c r="DD224" s="117">
        <v>15021</v>
      </c>
      <c r="DE224" s="117">
        <v>44485</v>
      </c>
      <c r="DF224" s="117">
        <v>11</v>
      </c>
      <c r="DG224" s="117">
        <v>-29453</v>
      </c>
      <c r="DH224" s="117">
        <v>26374</v>
      </c>
      <c r="DI224" s="117">
        <v>7779</v>
      </c>
      <c r="DJ224" s="136"/>
      <c r="DL224" s="160">
        <v>-55</v>
      </c>
      <c r="DM224" s="160">
        <v>40</v>
      </c>
      <c r="DN224" s="161">
        <v>4685</v>
      </c>
      <c r="DO224" s="116">
        <v>2332</v>
      </c>
      <c r="DP224" s="160">
        <v>0</v>
      </c>
      <c r="DR224" s="161">
        <v>2353</v>
      </c>
      <c r="DS224" s="116">
        <v>-6</v>
      </c>
      <c r="DT224" s="116">
        <v>0</v>
      </c>
      <c r="DU224" s="116">
        <v>0</v>
      </c>
      <c r="DV224" s="116">
        <v>-1</v>
      </c>
      <c r="DW224" s="160">
        <v>2346</v>
      </c>
      <c r="DX224" s="160">
        <v>16357</v>
      </c>
      <c r="DY224" s="116">
        <v>3772</v>
      </c>
      <c r="DZ224" s="150"/>
      <c r="EA224" s="117">
        <v>58</v>
      </c>
      <c r="EB224" s="116">
        <v>-1054</v>
      </c>
      <c r="EC224" s="159">
        <v>2848</v>
      </c>
      <c r="EE224" s="125"/>
      <c r="EF224" s="161"/>
      <c r="EG224" s="124"/>
      <c r="EH224" s="253">
        <v>19.75</v>
      </c>
      <c r="EI224" s="130"/>
      <c r="EJ224" s="125">
        <v>242</v>
      </c>
      <c r="EK224" s="116"/>
      <c r="EL224" s="159"/>
      <c r="EN224" s="116"/>
      <c r="EO224" s="116"/>
      <c r="EP224" s="159"/>
      <c r="EQ224" s="159">
        <v>-1928</v>
      </c>
      <c r="ER224" s="116">
        <v>47</v>
      </c>
      <c r="ES224" s="116">
        <v>693</v>
      </c>
      <c r="ET224" s="160">
        <v>-5479</v>
      </c>
      <c r="EU224" s="116">
        <v>555</v>
      </c>
      <c r="EV224" s="116">
        <v>679</v>
      </c>
      <c r="EW224" s="160">
        <v>-2337</v>
      </c>
      <c r="EX224" s="160">
        <v>181</v>
      </c>
      <c r="EY224" s="160">
        <v>1232</v>
      </c>
      <c r="EZ224" s="116">
        <v>269</v>
      </c>
      <c r="FA224" s="116">
        <v>1</v>
      </c>
      <c r="FB224" s="116">
        <v>13</v>
      </c>
      <c r="FC224" s="160">
        <v>2133</v>
      </c>
      <c r="FD224" s="116">
        <v>1</v>
      </c>
      <c r="FE224" s="116">
        <v>214</v>
      </c>
      <c r="FF224" s="3">
        <v>12861</v>
      </c>
      <c r="FG224" s="3">
        <v>8170</v>
      </c>
      <c r="FH224" s="3">
        <v>4691</v>
      </c>
      <c r="FI224" s="3">
        <v>15</v>
      </c>
      <c r="FJ224" s="125">
        <v>14183</v>
      </c>
      <c r="FK224" s="160">
        <v>7354</v>
      </c>
      <c r="FL224" s="125">
        <v>6829</v>
      </c>
      <c r="FM224" s="116">
        <v>15</v>
      </c>
      <c r="FN224" s="125">
        <v>13357</v>
      </c>
      <c r="FO224" s="116">
        <v>6414</v>
      </c>
      <c r="FP224" s="116">
        <v>6943</v>
      </c>
      <c r="FQ224" s="116">
        <v>58</v>
      </c>
      <c r="FR224" s="153">
        <v>1335</v>
      </c>
      <c r="FS224" s="153">
        <v>1195</v>
      </c>
      <c r="FT224" s="276">
        <v>1270</v>
      </c>
      <c r="FU224" s="3">
        <v>1936</v>
      </c>
      <c r="FV224" s="159">
        <v>1780</v>
      </c>
      <c r="FW224" s="170"/>
      <c r="FZ224" s="155"/>
      <c r="GA224" s="2"/>
      <c r="GD224" s="163"/>
      <c r="GE224" s="2"/>
      <c r="GF224" s="2"/>
    </row>
    <row r="225" spans="1:188" ht="14.5" x14ac:dyDescent="0.35">
      <c r="A225" s="72">
        <v>707</v>
      </c>
      <c r="B225" s="70" t="s">
        <v>216</v>
      </c>
      <c r="C225" s="158">
        <v>2181</v>
      </c>
      <c r="D225" s="171"/>
      <c r="E225" s="128">
        <v>0.80467836257309944</v>
      </c>
      <c r="F225" s="128">
        <v>34.854819976771196</v>
      </c>
      <c r="G225" s="129">
        <v>-3184.3191196698763</v>
      </c>
      <c r="H225" s="216"/>
      <c r="I225" s="172"/>
      <c r="J225" s="218"/>
      <c r="K225" s="128">
        <v>33.467180640325516</v>
      </c>
      <c r="L225" s="129">
        <v>1548.3723062815222</v>
      </c>
      <c r="M225" s="129">
        <v>34.214317437406322</v>
      </c>
      <c r="N225" s="129">
        <v>16518.110958276018</v>
      </c>
      <c r="O225" s="129"/>
      <c r="P225" s="117">
        <v>19232</v>
      </c>
      <c r="Q225" s="161">
        <v>33967</v>
      </c>
      <c r="R225" s="161">
        <v>1</v>
      </c>
      <c r="S225" s="161">
        <v>-14734</v>
      </c>
      <c r="T225" s="124">
        <v>5948</v>
      </c>
      <c r="U225" s="124">
        <v>9260</v>
      </c>
      <c r="V225" s="136"/>
      <c r="X225" s="116">
        <v>-52</v>
      </c>
      <c r="Y225" s="116">
        <v>190</v>
      </c>
      <c r="Z225" s="161">
        <v>612</v>
      </c>
      <c r="AA225" s="116">
        <v>978</v>
      </c>
      <c r="AB225" s="116">
        <v>0</v>
      </c>
      <c r="AD225" s="161">
        <v>-366</v>
      </c>
      <c r="AE225" s="117">
        <v>0</v>
      </c>
      <c r="AF225" s="117">
        <v>0</v>
      </c>
      <c r="AG225" s="116">
        <v>0</v>
      </c>
      <c r="AH225" s="116">
        <v>4</v>
      </c>
      <c r="AI225" s="160">
        <v>-362</v>
      </c>
      <c r="AJ225" s="161">
        <v>-731</v>
      </c>
      <c r="AK225" s="161">
        <v>654</v>
      </c>
      <c r="AL225" s="150"/>
      <c r="AM225" s="161">
        <v>78</v>
      </c>
      <c r="AN225" s="161">
        <v>-779</v>
      </c>
      <c r="AO225" s="160">
        <v>-151</v>
      </c>
      <c r="AQ225" s="160"/>
      <c r="AR225" s="117"/>
      <c r="AS225" s="117"/>
      <c r="AT225" s="99">
        <v>21.5</v>
      </c>
      <c r="AU225" s="130"/>
      <c r="AV225" s="262">
        <v>228</v>
      </c>
      <c r="AW225" s="267">
        <v>2126</v>
      </c>
      <c r="AX225" s="124"/>
      <c r="AY225" s="255">
        <v>0.29639175257731959</v>
      </c>
      <c r="AZ225" s="259">
        <v>33.209396166594608</v>
      </c>
      <c r="BA225" s="160">
        <v>-3603.0103480714961</v>
      </c>
      <c r="BB225" s="130"/>
      <c r="BC225" s="130"/>
      <c r="BD225" s="130"/>
      <c r="BE225" s="128">
        <v>33.133822699040088</v>
      </c>
      <c r="BF225" s="160">
        <v>1076.6698024459079</v>
      </c>
      <c r="BG225" s="129">
        <v>33.440179055887143</v>
      </c>
      <c r="BH225" s="131">
        <v>17337.723424270931</v>
      </c>
      <c r="BI225" s="124"/>
      <c r="BJ225" s="117">
        <v>18934</v>
      </c>
      <c r="BK225" s="117">
        <v>34543</v>
      </c>
      <c r="BL225" s="161">
        <v>-2</v>
      </c>
      <c r="BM225" s="161">
        <v>-15611</v>
      </c>
      <c r="BN225" s="117">
        <v>5779</v>
      </c>
      <c r="BO225" s="117">
        <v>9982</v>
      </c>
      <c r="BP225" s="136"/>
      <c r="BR225" s="160">
        <v>-59</v>
      </c>
      <c r="BS225" s="160">
        <v>179</v>
      </c>
      <c r="BT225" s="161">
        <v>270</v>
      </c>
      <c r="BU225" s="125">
        <v>895</v>
      </c>
      <c r="BV225" s="160">
        <v>0</v>
      </c>
      <c r="BX225" s="161">
        <v>-625</v>
      </c>
      <c r="BY225" s="161">
        <v>-2</v>
      </c>
      <c r="BZ225" s="161">
        <v>-1</v>
      </c>
      <c r="CA225" s="160">
        <v>0</v>
      </c>
      <c r="CB225" s="160">
        <v>-2</v>
      </c>
      <c r="CC225" s="160">
        <v>-630</v>
      </c>
      <c r="CD225" s="160">
        <v>-1151</v>
      </c>
      <c r="CE225" s="116">
        <v>165</v>
      </c>
      <c r="CF225" s="150"/>
      <c r="CG225" s="160">
        <v>107</v>
      </c>
      <c r="CH225" s="160">
        <v>-1089</v>
      </c>
      <c r="CI225" s="159">
        <v>-925</v>
      </c>
      <c r="CK225" s="124"/>
      <c r="CL225" s="161"/>
      <c r="CM225" s="124"/>
      <c r="CN225" s="265">
        <v>21.5</v>
      </c>
      <c r="CO225" s="130"/>
      <c r="CP225" s="116">
        <v>254</v>
      </c>
      <c r="CQ225" s="267">
        <v>2066</v>
      </c>
      <c r="CR225" s="124"/>
      <c r="CS225" s="268">
        <v>-0.46921182266009853</v>
      </c>
      <c r="CT225" s="269">
        <v>40.597838199242254</v>
      </c>
      <c r="CU225" s="160">
        <v>-4742.0135527589546</v>
      </c>
      <c r="CV225" s="130"/>
      <c r="CW225" s="130"/>
      <c r="CX225" s="130"/>
      <c r="CY225" s="269">
        <v>23.721481176288819</v>
      </c>
      <c r="CZ225" s="125">
        <v>1349.9515972894483</v>
      </c>
      <c r="DA225" s="125">
        <v>25.674274905422443</v>
      </c>
      <c r="DB225" s="273">
        <v>19191.674733785094</v>
      </c>
      <c r="DC225" s="124"/>
      <c r="DD225" s="117">
        <v>18893</v>
      </c>
      <c r="DE225" s="117">
        <v>36474</v>
      </c>
      <c r="DF225" s="117">
        <v>-1</v>
      </c>
      <c r="DG225" s="117">
        <v>-17582</v>
      </c>
      <c r="DH225" s="117">
        <v>6240</v>
      </c>
      <c r="DI225" s="117">
        <v>10763</v>
      </c>
      <c r="DJ225" s="136"/>
      <c r="DL225" s="160">
        <v>-53</v>
      </c>
      <c r="DM225" s="160">
        <v>171</v>
      </c>
      <c r="DN225" s="161">
        <v>-461</v>
      </c>
      <c r="DO225" s="116">
        <v>884</v>
      </c>
      <c r="DP225" s="160">
        <v>0</v>
      </c>
      <c r="DR225" s="161">
        <v>-1345</v>
      </c>
      <c r="DS225" s="117">
        <v>0</v>
      </c>
      <c r="DT225" s="117">
        <v>1</v>
      </c>
      <c r="DU225" s="116">
        <v>0</v>
      </c>
      <c r="DV225" s="116">
        <v>0</v>
      </c>
      <c r="DW225" s="160">
        <v>-1344</v>
      </c>
      <c r="DX225" s="160">
        <v>-2407</v>
      </c>
      <c r="DY225" s="116">
        <v>-563</v>
      </c>
      <c r="DZ225" s="150"/>
      <c r="EA225" s="116">
        <v>-413</v>
      </c>
      <c r="EB225" s="116">
        <v>-732</v>
      </c>
      <c r="EC225" s="159">
        <v>-1206</v>
      </c>
      <c r="EE225" s="125"/>
      <c r="EF225" s="161"/>
      <c r="EG225" s="124"/>
      <c r="EH225" s="253">
        <v>21.5</v>
      </c>
      <c r="EI225" s="130"/>
      <c r="EJ225" s="125">
        <v>294</v>
      </c>
      <c r="EK225" s="116"/>
      <c r="EL225" s="159"/>
      <c r="EN225" s="116"/>
      <c r="EO225" s="116"/>
      <c r="EP225" s="159"/>
      <c r="EQ225" s="159">
        <v>-851</v>
      </c>
      <c r="ER225" s="116">
        <v>10</v>
      </c>
      <c r="ES225" s="116">
        <v>36</v>
      </c>
      <c r="ET225" s="160">
        <v>-1137</v>
      </c>
      <c r="EU225" s="116">
        <v>1</v>
      </c>
      <c r="EV225" s="116">
        <v>46</v>
      </c>
      <c r="EW225" s="160">
        <v>-748</v>
      </c>
      <c r="EX225" s="160">
        <v>13</v>
      </c>
      <c r="EY225" s="160">
        <v>92</v>
      </c>
      <c r="EZ225" s="116">
        <v>174</v>
      </c>
      <c r="FA225" s="116">
        <v>-66</v>
      </c>
      <c r="FB225" s="116">
        <v>659</v>
      </c>
      <c r="FC225" s="160">
        <v>270</v>
      </c>
      <c r="FD225" s="116">
        <v>3728</v>
      </c>
      <c r="FE225" s="116">
        <v>108</v>
      </c>
      <c r="FF225" s="3">
        <v>7775</v>
      </c>
      <c r="FG225" s="3">
        <v>6811</v>
      </c>
      <c r="FH225" s="3">
        <v>964</v>
      </c>
      <c r="FI225" s="3">
        <v>630</v>
      </c>
      <c r="FJ225" s="125">
        <v>7678</v>
      </c>
      <c r="FK225" s="160">
        <v>6444</v>
      </c>
      <c r="FL225" s="125">
        <v>1234</v>
      </c>
      <c r="FM225" s="116">
        <v>625</v>
      </c>
      <c r="FN225" s="125">
        <v>10782</v>
      </c>
      <c r="FO225" s="116">
        <v>9262</v>
      </c>
      <c r="FP225" s="116">
        <v>1520</v>
      </c>
      <c r="FQ225" s="116">
        <v>-413</v>
      </c>
      <c r="FR225" s="153">
        <v>3260</v>
      </c>
      <c r="FS225" s="153">
        <v>3047</v>
      </c>
      <c r="FT225" s="276">
        <v>184</v>
      </c>
      <c r="FU225" s="3">
        <v>1030</v>
      </c>
      <c r="FV225" s="159">
        <v>1159</v>
      </c>
      <c r="FW225" s="170"/>
      <c r="FZ225" s="155"/>
      <c r="GA225" s="2"/>
      <c r="GD225" s="163"/>
      <c r="GE225" s="2"/>
      <c r="GF225" s="2"/>
    </row>
    <row r="226" spans="1:188" ht="14.5" x14ac:dyDescent="0.35">
      <c r="A226" s="72">
        <v>729</v>
      </c>
      <c r="B226" s="70" t="s">
        <v>217</v>
      </c>
      <c r="C226" s="158">
        <v>9415</v>
      </c>
      <c r="D226" s="171"/>
      <c r="E226" s="128">
        <v>1.102068345323741</v>
      </c>
      <c r="F226" s="128">
        <v>53.849079298816619</v>
      </c>
      <c r="G226" s="129">
        <v>-4630.1646309081252</v>
      </c>
      <c r="H226" s="216"/>
      <c r="I226" s="172"/>
      <c r="J226" s="218"/>
      <c r="K226" s="128">
        <v>41.836367826688175</v>
      </c>
      <c r="L226" s="129">
        <v>876.4737121614445</v>
      </c>
      <c r="M226" s="129">
        <v>24.474310741303519</v>
      </c>
      <c r="N226" s="129">
        <v>13071.375464684015</v>
      </c>
      <c r="O226" s="129"/>
      <c r="P226" s="117">
        <v>51848</v>
      </c>
      <c r="Q226" s="161">
        <v>108428</v>
      </c>
      <c r="R226" s="161">
        <v>96</v>
      </c>
      <c r="S226" s="161">
        <v>-56484</v>
      </c>
      <c r="T226" s="124">
        <v>28989</v>
      </c>
      <c r="U226" s="124">
        <v>32229</v>
      </c>
      <c r="V226" s="136"/>
      <c r="X226" s="116">
        <v>-309</v>
      </c>
      <c r="Y226" s="116">
        <v>75</v>
      </c>
      <c r="Z226" s="161">
        <v>4500</v>
      </c>
      <c r="AA226" s="116">
        <v>5891</v>
      </c>
      <c r="AB226" s="116">
        <v>0</v>
      </c>
      <c r="AD226" s="161">
        <v>-1391</v>
      </c>
      <c r="AE226" s="117">
        <v>0</v>
      </c>
      <c r="AF226" s="117">
        <v>-1</v>
      </c>
      <c r="AG226" s="116">
        <v>0</v>
      </c>
      <c r="AH226" s="116">
        <v>0</v>
      </c>
      <c r="AI226" s="160">
        <v>-1392</v>
      </c>
      <c r="AJ226" s="161">
        <v>10593</v>
      </c>
      <c r="AK226" s="161">
        <v>3999</v>
      </c>
      <c r="AL226" s="150"/>
      <c r="AM226" s="161">
        <v>-1483</v>
      </c>
      <c r="AN226" s="161">
        <v>-4046</v>
      </c>
      <c r="AO226" s="160">
        <v>-5091</v>
      </c>
      <c r="AQ226" s="160"/>
      <c r="AR226" s="117"/>
      <c r="AS226" s="117"/>
      <c r="AT226" s="99">
        <v>21.5</v>
      </c>
      <c r="AU226" s="130"/>
      <c r="AV226" s="262">
        <v>152</v>
      </c>
      <c r="AW226" s="267">
        <v>9309</v>
      </c>
      <c r="AX226" s="124"/>
      <c r="AY226" s="255">
        <v>0.66051481301602721</v>
      </c>
      <c r="AZ226" s="259">
        <v>56.182546484983121</v>
      </c>
      <c r="BA226" s="160">
        <v>-5515.5226125255131</v>
      </c>
      <c r="BB226" s="130"/>
      <c r="BC226" s="130"/>
      <c r="BD226" s="130"/>
      <c r="BE226" s="128">
        <v>39.001753600477578</v>
      </c>
      <c r="BF226" s="160">
        <v>752.49758298420886</v>
      </c>
      <c r="BG226" s="129">
        <v>23.818968312337393</v>
      </c>
      <c r="BH226" s="131">
        <v>13583.951015146633</v>
      </c>
      <c r="BI226" s="124"/>
      <c r="BJ226" s="117">
        <v>51820</v>
      </c>
      <c r="BK226" s="117">
        <v>111801</v>
      </c>
      <c r="BL226" s="161">
        <v>62</v>
      </c>
      <c r="BM226" s="161">
        <v>-59919</v>
      </c>
      <c r="BN226" s="117">
        <v>29580</v>
      </c>
      <c r="BO226" s="117">
        <v>32938</v>
      </c>
      <c r="BP226" s="136"/>
      <c r="BR226" s="160">
        <v>-244</v>
      </c>
      <c r="BS226" s="160">
        <v>22</v>
      </c>
      <c r="BT226" s="161">
        <v>2377</v>
      </c>
      <c r="BU226" s="125">
        <v>5868</v>
      </c>
      <c r="BV226" s="160">
        <v>0</v>
      </c>
      <c r="BX226" s="161">
        <v>-3491</v>
      </c>
      <c r="BY226" s="161">
        <v>0</v>
      </c>
      <c r="BZ226" s="161">
        <v>-11</v>
      </c>
      <c r="CA226" s="160">
        <v>0</v>
      </c>
      <c r="CB226" s="160">
        <v>6</v>
      </c>
      <c r="CC226" s="160">
        <v>-3496</v>
      </c>
      <c r="CD226" s="160">
        <v>6712</v>
      </c>
      <c r="CE226" s="116">
        <v>2154</v>
      </c>
      <c r="CF226" s="150"/>
      <c r="CG226" s="161">
        <v>3361</v>
      </c>
      <c r="CH226" s="160">
        <v>-3775</v>
      </c>
      <c r="CI226" s="159">
        <v>-6935</v>
      </c>
      <c r="CK226" s="124"/>
      <c r="CL226" s="161"/>
      <c r="CM226" s="124"/>
      <c r="CN226" s="265">
        <v>21.5</v>
      </c>
      <c r="CO226" s="130"/>
      <c r="CP226" s="116">
        <v>224</v>
      </c>
      <c r="CQ226" s="267">
        <v>9208</v>
      </c>
      <c r="CR226" s="124"/>
      <c r="CS226" s="268">
        <v>2.8781085814360772</v>
      </c>
      <c r="CT226" s="269">
        <v>55.740446811052514</v>
      </c>
      <c r="CU226" s="160">
        <v>-5560.4908774978276</v>
      </c>
      <c r="CV226" s="130"/>
      <c r="CW226" s="130"/>
      <c r="CX226" s="130"/>
      <c r="CY226" s="269">
        <v>39.688814739590889</v>
      </c>
      <c r="CZ226" s="125">
        <v>932.99304952215471</v>
      </c>
      <c r="DA226" s="125">
        <v>26.13248272815914</v>
      </c>
      <c r="DB226" s="273">
        <v>13031.385751520418</v>
      </c>
      <c r="DC226" s="124"/>
      <c r="DD226" s="117">
        <v>49896</v>
      </c>
      <c r="DE226" s="117">
        <v>108988</v>
      </c>
      <c r="DF226" s="117">
        <v>-9</v>
      </c>
      <c r="DG226" s="117">
        <v>-59101</v>
      </c>
      <c r="DH226" s="117">
        <v>29935</v>
      </c>
      <c r="DI226" s="117">
        <v>37355</v>
      </c>
      <c r="DJ226" s="136"/>
      <c r="DL226" s="160">
        <v>-263</v>
      </c>
      <c r="DM226" s="160">
        <v>-45</v>
      </c>
      <c r="DN226" s="161">
        <v>7881</v>
      </c>
      <c r="DO226" s="116">
        <v>5735</v>
      </c>
      <c r="DP226" s="160">
        <v>0</v>
      </c>
      <c r="DR226" s="161">
        <v>2146</v>
      </c>
      <c r="DS226" s="117">
        <v>0</v>
      </c>
      <c r="DT226" s="117">
        <v>-37</v>
      </c>
      <c r="DU226" s="116">
        <v>0</v>
      </c>
      <c r="DV226" s="116">
        <v>-4</v>
      </c>
      <c r="DW226" s="160">
        <v>2105</v>
      </c>
      <c r="DX226" s="160">
        <v>8738</v>
      </c>
      <c r="DY226" s="116">
        <v>7846</v>
      </c>
      <c r="DZ226" s="150"/>
      <c r="EA226" s="117">
        <v>282</v>
      </c>
      <c r="EB226" s="116">
        <v>-2519</v>
      </c>
      <c r="EC226" s="159">
        <v>422</v>
      </c>
      <c r="EE226" s="125"/>
      <c r="EF226" s="161"/>
      <c r="EG226" s="124"/>
      <c r="EH226" s="253">
        <v>21.5</v>
      </c>
      <c r="EI226" s="130"/>
      <c r="EJ226" s="125">
        <v>208</v>
      </c>
      <c r="EK226" s="116"/>
      <c r="EL226" s="159"/>
      <c r="EN226" s="116"/>
      <c r="EO226" s="116"/>
      <c r="EP226" s="159"/>
      <c r="EQ226" s="159">
        <v>-10110</v>
      </c>
      <c r="ER226" s="116">
        <v>309</v>
      </c>
      <c r="ES226" s="116">
        <v>711</v>
      </c>
      <c r="ET226" s="160">
        <v>-10427</v>
      </c>
      <c r="EU226" s="116">
        <v>543</v>
      </c>
      <c r="EV226" s="116">
        <v>795</v>
      </c>
      <c r="EW226" s="160">
        <v>-7993</v>
      </c>
      <c r="EX226" s="160">
        <v>114</v>
      </c>
      <c r="EY226" s="160">
        <v>455</v>
      </c>
      <c r="EZ226" s="116">
        <v>6420</v>
      </c>
      <c r="FA226" s="116">
        <v>2088</v>
      </c>
      <c r="FB226" s="116">
        <v>6690</v>
      </c>
      <c r="FC226" s="160">
        <v>1112</v>
      </c>
      <c r="FD226" s="116">
        <v>1383</v>
      </c>
      <c r="FE226" s="116">
        <v>2498</v>
      </c>
      <c r="FF226" s="3">
        <v>44710</v>
      </c>
      <c r="FG226" s="3">
        <v>36266</v>
      </c>
      <c r="FH226" s="3">
        <v>8444</v>
      </c>
      <c r="FI226" s="3">
        <v>0</v>
      </c>
      <c r="FJ226" s="125">
        <v>48986</v>
      </c>
      <c r="FK226" s="160">
        <v>40132</v>
      </c>
      <c r="FL226" s="125">
        <v>8854</v>
      </c>
      <c r="FM226" s="116">
        <v>2494</v>
      </c>
      <c r="FN226" s="125">
        <v>50593</v>
      </c>
      <c r="FO226" s="116">
        <v>38945</v>
      </c>
      <c r="FP226" s="116">
        <v>11648</v>
      </c>
      <c r="FQ226" s="116">
        <v>282</v>
      </c>
      <c r="FR226" s="153">
        <v>3463</v>
      </c>
      <c r="FS226" s="153">
        <v>3220</v>
      </c>
      <c r="FT226" s="276">
        <v>3000</v>
      </c>
      <c r="FU226" s="3">
        <v>12998</v>
      </c>
      <c r="FV226" s="159">
        <v>14225</v>
      </c>
      <c r="FW226" s="170"/>
      <c r="FZ226" s="155"/>
      <c r="GA226" s="2"/>
      <c r="GD226" s="163"/>
      <c r="GE226" s="2"/>
      <c r="GF226" s="2"/>
    </row>
    <row r="227" spans="1:188" ht="14.5" x14ac:dyDescent="0.35">
      <c r="A227" s="72">
        <v>732</v>
      </c>
      <c r="B227" s="70" t="s">
        <v>218</v>
      </c>
      <c r="C227" s="158">
        <v>3491</v>
      </c>
      <c r="D227" s="171"/>
      <c r="E227" s="128">
        <v>1.4780472827755604</v>
      </c>
      <c r="F227" s="128">
        <v>53.468019737454611</v>
      </c>
      <c r="G227" s="129">
        <v>-6520.1947865940992</v>
      </c>
      <c r="H227" s="216"/>
      <c r="I227" s="172"/>
      <c r="J227" s="218"/>
      <c r="K227" s="128">
        <v>33.947969957548707</v>
      </c>
      <c r="L227" s="129">
        <v>852.4778000572901</v>
      </c>
      <c r="M227" s="129">
        <v>19.408233276157805</v>
      </c>
      <c r="N227" s="129">
        <v>16032.082497851619</v>
      </c>
      <c r="O227" s="129"/>
      <c r="P227" s="117">
        <v>22393</v>
      </c>
      <c r="Q227" s="161">
        <v>49166</v>
      </c>
      <c r="R227" s="161">
        <v>262</v>
      </c>
      <c r="S227" s="161">
        <v>-26511</v>
      </c>
      <c r="T227" s="124">
        <v>11011</v>
      </c>
      <c r="U227" s="124">
        <v>20301</v>
      </c>
      <c r="V227" s="136"/>
      <c r="X227" s="116">
        <v>-285</v>
      </c>
      <c r="Y227" s="116">
        <v>13</v>
      </c>
      <c r="Z227" s="161">
        <v>4529</v>
      </c>
      <c r="AA227" s="116">
        <v>2324</v>
      </c>
      <c r="AB227" s="116">
        <v>0</v>
      </c>
      <c r="AD227" s="161">
        <v>2205</v>
      </c>
      <c r="AE227" s="116">
        <v>-11</v>
      </c>
      <c r="AF227" s="116">
        <v>11</v>
      </c>
      <c r="AG227" s="116">
        <v>0</v>
      </c>
      <c r="AH227" s="116">
        <v>-24</v>
      </c>
      <c r="AI227" s="160">
        <v>2181</v>
      </c>
      <c r="AJ227" s="161">
        <v>7891</v>
      </c>
      <c r="AK227" s="161">
        <v>3088</v>
      </c>
      <c r="AL227" s="150"/>
      <c r="AM227" s="161">
        <v>-473</v>
      </c>
      <c r="AN227" s="161">
        <v>-2972</v>
      </c>
      <c r="AO227" s="160">
        <v>1544</v>
      </c>
      <c r="AQ227" s="160"/>
      <c r="AR227" s="117"/>
      <c r="AS227" s="117"/>
      <c r="AT227" s="99">
        <v>20.5</v>
      </c>
      <c r="AU227" s="130"/>
      <c r="AV227" s="262">
        <v>8</v>
      </c>
      <c r="AW227" s="267">
        <v>3400</v>
      </c>
      <c r="AX227" s="124"/>
      <c r="AY227" s="255">
        <v>0.78053917438921649</v>
      </c>
      <c r="AZ227" s="259">
        <v>51.205443818212665</v>
      </c>
      <c r="BA227" s="160">
        <v>-6322.0588235294117</v>
      </c>
      <c r="BB227" s="130"/>
      <c r="BC227" s="130"/>
      <c r="BD227" s="130"/>
      <c r="BE227" s="128">
        <v>36.726689249420573</v>
      </c>
      <c r="BF227" s="160">
        <v>718.82352941176475</v>
      </c>
      <c r="BG227" s="129">
        <v>18.179748953974897</v>
      </c>
      <c r="BH227" s="131">
        <v>17573.529411764706</v>
      </c>
      <c r="BI227" s="124"/>
      <c r="BJ227" s="117">
        <v>21698</v>
      </c>
      <c r="BK227" s="117">
        <v>49789</v>
      </c>
      <c r="BL227" s="161">
        <v>301</v>
      </c>
      <c r="BM227" s="161">
        <v>-27790</v>
      </c>
      <c r="BN227" s="117">
        <v>11089</v>
      </c>
      <c r="BO227" s="117">
        <v>20264</v>
      </c>
      <c r="BP227" s="136"/>
      <c r="BR227" s="160">
        <v>-219</v>
      </c>
      <c r="BS227" s="160">
        <v>142</v>
      </c>
      <c r="BT227" s="161">
        <v>3486</v>
      </c>
      <c r="BU227" s="125">
        <v>2479</v>
      </c>
      <c r="BV227" s="160">
        <v>0</v>
      </c>
      <c r="BX227" s="161">
        <v>1007</v>
      </c>
      <c r="BY227" s="160">
        <v>-8</v>
      </c>
      <c r="BZ227" s="160">
        <v>1</v>
      </c>
      <c r="CA227" s="160">
        <v>0</v>
      </c>
      <c r="CB227" s="160">
        <v>-18</v>
      </c>
      <c r="CC227" s="160">
        <v>982</v>
      </c>
      <c r="CD227" s="160">
        <v>8649</v>
      </c>
      <c r="CE227" s="116">
        <v>2699</v>
      </c>
      <c r="CF227" s="150"/>
      <c r="CG227" s="161">
        <v>-441</v>
      </c>
      <c r="CH227" s="160">
        <v>-4528</v>
      </c>
      <c r="CI227" s="159">
        <v>1648</v>
      </c>
      <c r="CK227" s="124"/>
      <c r="CL227" s="161"/>
      <c r="CM227" s="124"/>
      <c r="CN227" s="265">
        <v>20.5</v>
      </c>
      <c r="CO227" s="130"/>
      <c r="CP227" s="116">
        <v>18</v>
      </c>
      <c r="CQ227" s="267">
        <v>3407</v>
      </c>
      <c r="CR227" s="124"/>
      <c r="CS227" s="268">
        <v>1.8382473382473383</v>
      </c>
      <c r="CT227" s="269">
        <v>53.191021932554648</v>
      </c>
      <c r="CU227" s="160">
        <v>-6510.4197240974463</v>
      </c>
      <c r="CV227" s="130"/>
      <c r="CW227" s="130"/>
      <c r="CX227" s="130"/>
      <c r="CY227" s="269">
        <v>36.936616773977761</v>
      </c>
      <c r="CZ227" s="125">
        <v>1063.3988846492514</v>
      </c>
      <c r="DA227" s="125">
        <v>22.971806274537052</v>
      </c>
      <c r="DB227" s="273">
        <v>16896.389785735253</v>
      </c>
      <c r="DC227" s="124"/>
      <c r="DD227" s="117">
        <v>21496</v>
      </c>
      <c r="DE227" s="117">
        <v>50355</v>
      </c>
      <c r="DF227" s="117">
        <v>333</v>
      </c>
      <c r="DG227" s="117">
        <v>-28526</v>
      </c>
      <c r="DH227" s="117">
        <v>11470</v>
      </c>
      <c r="DI227" s="117">
        <v>21656</v>
      </c>
      <c r="DJ227" s="136"/>
      <c r="DL227" s="160">
        <v>-193</v>
      </c>
      <c r="DM227" s="160">
        <v>-111</v>
      </c>
      <c r="DN227" s="161">
        <v>4296</v>
      </c>
      <c r="DO227" s="116">
        <v>3014</v>
      </c>
      <c r="DP227" s="160">
        <v>0</v>
      </c>
      <c r="DR227" s="161">
        <v>1282</v>
      </c>
      <c r="DS227" s="116">
        <v>0</v>
      </c>
      <c r="DT227" s="116">
        <v>-185</v>
      </c>
      <c r="DU227" s="116">
        <v>0</v>
      </c>
      <c r="DV227" s="116">
        <v>16</v>
      </c>
      <c r="DW227" s="160">
        <v>1113</v>
      </c>
      <c r="DX227" s="160">
        <v>9838</v>
      </c>
      <c r="DY227" s="116">
        <v>3843</v>
      </c>
      <c r="DZ227" s="150"/>
      <c r="EA227" s="117">
        <v>-254</v>
      </c>
      <c r="EB227" s="116">
        <v>-2249</v>
      </c>
      <c r="EC227" s="159">
        <v>-690</v>
      </c>
      <c r="EE227" s="125"/>
      <c r="EF227" s="161"/>
      <c r="EG227" s="124"/>
      <c r="EH227" s="253">
        <v>20.25</v>
      </c>
      <c r="EI227" s="130"/>
      <c r="EJ227" s="125">
        <v>60</v>
      </c>
      <c r="EK227" s="116"/>
      <c r="EL227" s="159"/>
      <c r="EN227" s="116"/>
      <c r="EO227" s="116"/>
      <c r="EP227" s="159"/>
      <c r="EQ227" s="159">
        <v>-3531</v>
      </c>
      <c r="ER227" s="116">
        <v>77</v>
      </c>
      <c r="ES227" s="116">
        <v>1910</v>
      </c>
      <c r="ET227" s="160">
        <v>-5173</v>
      </c>
      <c r="EU227" s="116">
        <v>85</v>
      </c>
      <c r="EV227" s="116">
        <v>4037</v>
      </c>
      <c r="EW227" s="160">
        <v>-4628</v>
      </c>
      <c r="EX227" s="160">
        <v>83</v>
      </c>
      <c r="EY227" s="160">
        <v>12</v>
      </c>
      <c r="EZ227" s="116">
        <v>1780</v>
      </c>
      <c r="FA227" s="116">
        <v>297</v>
      </c>
      <c r="FB227" s="116">
        <v>3261</v>
      </c>
      <c r="FC227" s="160">
        <v>788</v>
      </c>
      <c r="FD227" s="116">
        <v>5288</v>
      </c>
      <c r="FE227" s="116">
        <v>-1063</v>
      </c>
      <c r="FF227" s="3">
        <v>19348</v>
      </c>
      <c r="FG227" s="3">
        <v>13568</v>
      </c>
      <c r="FH227" s="3">
        <v>5780</v>
      </c>
      <c r="FI227" s="3">
        <v>0</v>
      </c>
      <c r="FJ227" s="125">
        <v>18861</v>
      </c>
      <c r="FK227" s="160">
        <v>14318</v>
      </c>
      <c r="FL227" s="125">
        <v>4543</v>
      </c>
      <c r="FM227" s="116">
        <v>0</v>
      </c>
      <c r="FN227" s="125">
        <v>20727</v>
      </c>
      <c r="FO227" s="116">
        <v>17075</v>
      </c>
      <c r="FP227" s="116">
        <v>3652</v>
      </c>
      <c r="FQ227" s="116">
        <v>-254</v>
      </c>
      <c r="FR227" s="153">
        <v>3</v>
      </c>
      <c r="FS227" s="153">
        <v>2037</v>
      </c>
      <c r="FT227" s="276">
        <v>2014</v>
      </c>
      <c r="FU227" s="3">
        <v>1379</v>
      </c>
      <c r="FV227" s="159">
        <v>1549</v>
      </c>
      <c r="FW227" s="170"/>
      <c r="FZ227" s="155"/>
      <c r="GA227" s="2"/>
      <c r="GD227" s="163"/>
      <c r="GE227" s="2"/>
      <c r="GF227" s="2"/>
    </row>
    <row r="228" spans="1:188" ht="14.5" x14ac:dyDescent="0.35">
      <c r="A228" s="72">
        <v>734</v>
      </c>
      <c r="B228" s="70" t="s">
        <v>219</v>
      </c>
      <c r="C228" s="158">
        <v>52321</v>
      </c>
      <c r="D228" s="171"/>
      <c r="E228" s="128">
        <v>0.73098391674550611</v>
      </c>
      <c r="F228" s="128">
        <v>51.178139905931623</v>
      </c>
      <c r="G228" s="129">
        <v>-3411.0013187821332</v>
      </c>
      <c r="H228" s="216"/>
      <c r="I228" s="172"/>
      <c r="J228" s="218"/>
      <c r="K228" s="128">
        <v>51.191886885792847</v>
      </c>
      <c r="L228" s="129">
        <v>775.00430037652188</v>
      </c>
      <c r="M228" s="129">
        <v>29.055685342965962</v>
      </c>
      <c r="N228" s="129">
        <v>9735.6701897899493</v>
      </c>
      <c r="O228" s="129"/>
      <c r="P228" s="117">
        <v>177726</v>
      </c>
      <c r="Q228" s="161">
        <v>466496</v>
      </c>
      <c r="R228" s="161">
        <v>28</v>
      </c>
      <c r="S228" s="161">
        <v>-288742</v>
      </c>
      <c r="T228" s="124">
        <v>180745</v>
      </c>
      <c r="U228" s="124">
        <v>122881</v>
      </c>
      <c r="V228" s="136"/>
      <c r="X228" s="116">
        <v>-2505</v>
      </c>
      <c r="Y228" s="116">
        <v>549</v>
      </c>
      <c r="Z228" s="161">
        <v>12928</v>
      </c>
      <c r="AA228" s="116">
        <v>26740</v>
      </c>
      <c r="AB228" s="116">
        <v>0</v>
      </c>
      <c r="AD228" s="161">
        <v>-13812</v>
      </c>
      <c r="AE228" s="116">
        <v>3</v>
      </c>
      <c r="AF228" s="116">
        <v>15</v>
      </c>
      <c r="AG228" s="116">
        <v>-42</v>
      </c>
      <c r="AH228" s="117">
        <v>-208</v>
      </c>
      <c r="AI228" s="160">
        <v>-14044</v>
      </c>
      <c r="AJ228" s="161">
        <v>38355</v>
      </c>
      <c r="AK228" s="161">
        <v>10821</v>
      </c>
      <c r="AL228" s="150"/>
      <c r="AM228" s="161">
        <v>-1295</v>
      </c>
      <c r="AN228" s="161">
        <v>-18615</v>
      </c>
      <c r="AO228" s="160">
        <v>-8367</v>
      </c>
      <c r="AQ228" s="160"/>
      <c r="AR228" s="117"/>
      <c r="AS228" s="117"/>
      <c r="AT228" s="99">
        <v>20.75</v>
      </c>
      <c r="AU228" s="130"/>
      <c r="AV228" s="262">
        <v>240</v>
      </c>
      <c r="AW228" s="267">
        <v>51833</v>
      </c>
      <c r="AX228" s="124"/>
      <c r="AY228" s="255">
        <v>0.45019331856292627</v>
      </c>
      <c r="AZ228" s="259">
        <v>51.37359359104267</v>
      </c>
      <c r="BA228" s="160">
        <v>-3621.920398201918</v>
      </c>
      <c r="BB228" s="130"/>
      <c r="BC228" s="130"/>
      <c r="BD228" s="130"/>
      <c r="BE228" s="128">
        <v>48.844018133202077</v>
      </c>
      <c r="BF228" s="160">
        <v>621.51525090193502</v>
      </c>
      <c r="BG228" s="129">
        <v>28.077881844517083</v>
      </c>
      <c r="BH228" s="131">
        <v>10169.563791407018</v>
      </c>
      <c r="BI228" s="124"/>
      <c r="BJ228" s="117">
        <v>179164</v>
      </c>
      <c r="BK228" s="117">
        <v>484625</v>
      </c>
      <c r="BL228" s="161">
        <v>182</v>
      </c>
      <c r="BM228" s="161">
        <v>-305279</v>
      </c>
      <c r="BN228" s="117">
        <v>188084</v>
      </c>
      <c r="BO228" s="117">
        <v>127185</v>
      </c>
      <c r="BP228" s="136"/>
      <c r="BR228" s="160">
        <v>-2098</v>
      </c>
      <c r="BS228" s="160">
        <v>269</v>
      </c>
      <c r="BT228" s="161">
        <v>8161</v>
      </c>
      <c r="BU228" s="125">
        <v>25247</v>
      </c>
      <c r="BV228" s="160">
        <v>1005</v>
      </c>
      <c r="BX228" s="161">
        <v>-16081</v>
      </c>
      <c r="BY228" s="160">
        <v>25</v>
      </c>
      <c r="BZ228" s="160">
        <v>31</v>
      </c>
      <c r="CA228" s="161">
        <v>12</v>
      </c>
      <c r="CB228" s="161">
        <v>-115</v>
      </c>
      <c r="CC228" s="160">
        <v>-16152</v>
      </c>
      <c r="CD228" s="160">
        <v>23863</v>
      </c>
      <c r="CE228" s="116">
        <v>9230</v>
      </c>
      <c r="CF228" s="150"/>
      <c r="CG228" s="161">
        <v>-6726</v>
      </c>
      <c r="CH228" s="160">
        <v>-20817</v>
      </c>
      <c r="CI228" s="159">
        <v>-5812</v>
      </c>
      <c r="CK228" s="124"/>
      <c r="CL228" s="161"/>
      <c r="CM228" s="124"/>
      <c r="CN228" s="265">
        <v>20.75</v>
      </c>
      <c r="CO228" s="130"/>
      <c r="CP228" s="116">
        <v>248</v>
      </c>
      <c r="CQ228" s="267">
        <v>51562</v>
      </c>
      <c r="CR228" s="124"/>
      <c r="CS228" s="268">
        <v>1.9989696998079896</v>
      </c>
      <c r="CT228" s="269">
        <v>46.487530132181739</v>
      </c>
      <c r="CU228" s="160">
        <v>-3217.8154454831074</v>
      </c>
      <c r="CV228" s="130"/>
      <c r="CW228" s="130"/>
      <c r="CX228" s="130"/>
      <c r="CY228" s="269">
        <v>51.236482910226044</v>
      </c>
      <c r="CZ228" s="125">
        <v>886.27283658508202</v>
      </c>
      <c r="DA228" s="125">
        <v>31.653660906430641</v>
      </c>
      <c r="DB228" s="273">
        <v>10219.657887591637</v>
      </c>
      <c r="DC228" s="124"/>
      <c r="DD228" s="117">
        <v>180375</v>
      </c>
      <c r="DE228" s="117">
        <v>482168</v>
      </c>
      <c r="DF228" s="117">
        <v>-694</v>
      </c>
      <c r="DG228" s="117">
        <v>-302487</v>
      </c>
      <c r="DH228" s="117">
        <v>194333</v>
      </c>
      <c r="DI228" s="117">
        <v>150478</v>
      </c>
      <c r="DJ228" s="136"/>
      <c r="DL228" s="160">
        <v>-1925</v>
      </c>
      <c r="DM228" s="160">
        <v>245</v>
      </c>
      <c r="DN228" s="161">
        <v>40644</v>
      </c>
      <c r="DO228" s="116">
        <v>25425</v>
      </c>
      <c r="DP228" s="160">
        <v>0</v>
      </c>
      <c r="DR228" s="161">
        <v>15219</v>
      </c>
      <c r="DS228" s="116">
        <v>-13</v>
      </c>
      <c r="DT228" s="116">
        <v>-25</v>
      </c>
      <c r="DU228" s="117">
        <v>0</v>
      </c>
      <c r="DV228" s="117">
        <v>-74</v>
      </c>
      <c r="DW228" s="160">
        <v>15107</v>
      </c>
      <c r="DX228" s="160">
        <v>38970</v>
      </c>
      <c r="DY228" s="116">
        <v>40583</v>
      </c>
      <c r="DZ228" s="150"/>
      <c r="EA228" s="117">
        <v>1528</v>
      </c>
      <c r="EB228" s="116">
        <v>-19313</v>
      </c>
      <c r="EC228" s="159">
        <v>22726</v>
      </c>
      <c r="EE228" s="125"/>
      <c r="EF228" s="161"/>
      <c r="EG228" s="124"/>
      <c r="EH228" s="253">
        <v>20.75</v>
      </c>
      <c r="EI228" s="130"/>
      <c r="EJ228" s="125">
        <v>227</v>
      </c>
      <c r="EK228" s="116"/>
      <c r="EL228" s="159"/>
      <c r="EN228" s="116"/>
      <c r="EO228" s="116"/>
      <c r="EP228" s="159"/>
      <c r="EQ228" s="159">
        <v>-21563</v>
      </c>
      <c r="ER228" s="116">
        <v>573</v>
      </c>
      <c r="ES228" s="116">
        <v>1802</v>
      </c>
      <c r="ET228" s="160">
        <v>-17324</v>
      </c>
      <c r="EU228" s="116">
        <v>378</v>
      </c>
      <c r="EV228" s="116">
        <v>1904</v>
      </c>
      <c r="EW228" s="160">
        <v>-20892</v>
      </c>
      <c r="EX228" s="160">
        <v>571</v>
      </c>
      <c r="EY228" s="160">
        <v>2464</v>
      </c>
      <c r="EZ228" s="116">
        <v>7354</v>
      </c>
      <c r="FA228" s="116">
        <v>20000</v>
      </c>
      <c r="FB228" s="116">
        <v>23822</v>
      </c>
      <c r="FC228" s="160">
        <v>9840</v>
      </c>
      <c r="FD228" s="116">
        <v>154</v>
      </c>
      <c r="FE228" s="116">
        <v>10137</v>
      </c>
      <c r="FF228" s="3">
        <v>163789</v>
      </c>
      <c r="FG228" s="3">
        <v>126956</v>
      </c>
      <c r="FH228" s="3">
        <v>36833</v>
      </c>
      <c r="FI228" s="3">
        <v>301</v>
      </c>
      <c r="FJ228" s="125">
        <v>176646</v>
      </c>
      <c r="FK228" s="160">
        <v>127666</v>
      </c>
      <c r="FL228" s="125">
        <v>48980</v>
      </c>
      <c r="FM228" s="116">
        <v>2312</v>
      </c>
      <c r="FN228" s="125">
        <v>167624</v>
      </c>
      <c r="FO228" s="116">
        <v>105687</v>
      </c>
      <c r="FP228" s="116">
        <v>61937</v>
      </c>
      <c r="FQ228" s="116">
        <v>1528</v>
      </c>
      <c r="FR228" s="153">
        <v>18679</v>
      </c>
      <c r="FS228" s="153">
        <v>16307</v>
      </c>
      <c r="FT228" s="276">
        <v>15528</v>
      </c>
      <c r="FU228" s="3">
        <v>29649</v>
      </c>
      <c r="FV228" s="159">
        <v>32338</v>
      </c>
      <c r="FW228" s="170"/>
      <c r="FZ228" s="155"/>
      <c r="GA228" s="2"/>
      <c r="GD228" s="163"/>
      <c r="GE228" s="2"/>
      <c r="GF228" s="2"/>
    </row>
    <row r="229" spans="1:188" ht="14.5" x14ac:dyDescent="0.35">
      <c r="A229" s="154">
        <v>790</v>
      </c>
      <c r="B229" s="76" t="s">
        <v>359</v>
      </c>
      <c r="C229" s="158">
        <v>24651</v>
      </c>
      <c r="D229" s="171"/>
      <c r="E229" s="128">
        <v>1.1724647832516149</v>
      </c>
      <c r="F229" s="128">
        <v>51.84361872100208</v>
      </c>
      <c r="G229" s="129">
        <v>-3554.4196989980123</v>
      </c>
      <c r="H229" s="216"/>
      <c r="I229" s="172"/>
      <c r="J229" s="218"/>
      <c r="K229" s="128">
        <v>43.041231355787062</v>
      </c>
      <c r="L229" s="129">
        <v>1490.9334306924668</v>
      </c>
      <c r="M229" s="129">
        <v>45.503821144002686</v>
      </c>
      <c r="N229" s="129">
        <v>11959.230862845321</v>
      </c>
      <c r="O229" s="129"/>
      <c r="P229" s="117">
        <v>116569</v>
      </c>
      <c r="Q229" s="161">
        <v>259767</v>
      </c>
      <c r="R229" s="161">
        <v>151</v>
      </c>
      <c r="S229" s="161">
        <v>-143047</v>
      </c>
      <c r="T229" s="124">
        <v>80773</v>
      </c>
      <c r="U229" s="124">
        <v>76169</v>
      </c>
      <c r="V229" s="136"/>
      <c r="X229" s="116">
        <v>-781</v>
      </c>
      <c r="Y229" s="116">
        <v>1154</v>
      </c>
      <c r="Z229" s="161">
        <v>14268</v>
      </c>
      <c r="AA229" s="116">
        <v>13164</v>
      </c>
      <c r="AB229" s="116">
        <v>0</v>
      </c>
      <c r="AD229" s="161">
        <v>1104</v>
      </c>
      <c r="AE229" s="116">
        <v>-256</v>
      </c>
      <c r="AF229" s="116">
        <v>1</v>
      </c>
      <c r="AG229" s="116">
        <v>-211</v>
      </c>
      <c r="AH229" s="116">
        <v>-34</v>
      </c>
      <c r="AI229" s="160">
        <v>604</v>
      </c>
      <c r="AJ229" s="161">
        <v>40508</v>
      </c>
      <c r="AK229" s="161">
        <v>14343</v>
      </c>
      <c r="AL229" s="150"/>
      <c r="AM229" s="161">
        <v>-1670</v>
      </c>
      <c r="AN229" s="161">
        <v>-12052</v>
      </c>
      <c r="AO229" s="160">
        <v>-6469</v>
      </c>
      <c r="AQ229" s="160"/>
      <c r="AR229" s="117"/>
      <c r="AS229" s="117"/>
      <c r="AT229" s="99">
        <v>20.75</v>
      </c>
      <c r="AU229" s="130"/>
      <c r="AV229" s="262">
        <v>122</v>
      </c>
      <c r="AW229" s="267">
        <v>24277</v>
      </c>
      <c r="AX229" s="124"/>
      <c r="AY229" s="255">
        <v>0.83042001491177198</v>
      </c>
      <c r="AZ229" s="259">
        <v>57.729678604558103</v>
      </c>
      <c r="BA229" s="160">
        <v>-4260.1639411788938</v>
      </c>
      <c r="BB229" s="130"/>
      <c r="BC229" s="130"/>
      <c r="BD229" s="130"/>
      <c r="BE229" s="128">
        <v>40.527979111973522</v>
      </c>
      <c r="BF229" s="160">
        <v>1695.0199777567245</v>
      </c>
      <c r="BG229" s="129">
        <v>44.479666440093503</v>
      </c>
      <c r="BH229" s="131">
        <v>12423.075338798039</v>
      </c>
      <c r="BI229" s="124"/>
      <c r="BJ229" s="117">
        <v>118017</v>
      </c>
      <c r="BK229" s="117">
        <v>265219</v>
      </c>
      <c r="BL229" s="161">
        <v>102</v>
      </c>
      <c r="BM229" s="161">
        <v>-147100</v>
      </c>
      <c r="BN229" s="117">
        <v>81651</v>
      </c>
      <c r="BO229" s="117">
        <v>75227</v>
      </c>
      <c r="BP229" s="136"/>
      <c r="BR229" s="160">
        <v>-887</v>
      </c>
      <c r="BS229" s="160">
        <v>228</v>
      </c>
      <c r="BT229" s="161">
        <v>9119</v>
      </c>
      <c r="BU229" s="125">
        <v>12737</v>
      </c>
      <c r="BV229" s="160">
        <v>0</v>
      </c>
      <c r="BX229" s="161">
        <v>-3618</v>
      </c>
      <c r="BY229" s="160">
        <v>-213</v>
      </c>
      <c r="BZ229" s="161">
        <v>0</v>
      </c>
      <c r="CA229" s="160">
        <v>178</v>
      </c>
      <c r="CB229" s="160">
        <v>-24</v>
      </c>
      <c r="CC229" s="160">
        <v>-4033</v>
      </c>
      <c r="CD229" s="160">
        <v>36333</v>
      </c>
      <c r="CE229" s="116">
        <v>9705</v>
      </c>
      <c r="CF229" s="150"/>
      <c r="CG229" s="161">
        <v>3286</v>
      </c>
      <c r="CH229" s="160">
        <v>-11166</v>
      </c>
      <c r="CI229" s="159">
        <v>-15227</v>
      </c>
      <c r="CK229" s="124"/>
      <c r="CL229" s="161"/>
      <c r="CM229" s="124"/>
      <c r="CN229" s="265">
        <v>20.75</v>
      </c>
      <c r="CO229" s="130"/>
      <c r="CP229" s="116">
        <v>170</v>
      </c>
      <c r="CQ229" s="267">
        <v>24052</v>
      </c>
      <c r="CR229" s="124"/>
      <c r="CS229" s="268">
        <v>1.6319303925536219</v>
      </c>
      <c r="CT229" s="269">
        <v>55.530506995677989</v>
      </c>
      <c r="CU229" s="160">
        <v>-4148.5115582903709</v>
      </c>
      <c r="CV229" s="130"/>
      <c r="CW229" s="130"/>
      <c r="CX229" s="130"/>
      <c r="CY229" s="269">
        <v>41.179155911911693</v>
      </c>
      <c r="CZ229" s="125">
        <v>1884.3339431232332</v>
      </c>
      <c r="DA229" s="125">
        <v>54.100335213801003</v>
      </c>
      <c r="DB229" s="273">
        <v>12713.079993347746</v>
      </c>
      <c r="DC229" s="124"/>
      <c r="DD229" s="117">
        <v>125298</v>
      </c>
      <c r="DE229" s="117">
        <v>271024</v>
      </c>
      <c r="DF229" s="117">
        <v>293</v>
      </c>
      <c r="DG229" s="117">
        <v>-145433</v>
      </c>
      <c r="DH229" s="117">
        <v>82688</v>
      </c>
      <c r="DI229" s="117">
        <v>86553</v>
      </c>
      <c r="DJ229" s="136"/>
      <c r="DL229" s="160">
        <v>-1010</v>
      </c>
      <c r="DM229" s="160">
        <v>371</v>
      </c>
      <c r="DN229" s="161">
        <v>23169</v>
      </c>
      <c r="DO229" s="116">
        <v>16727</v>
      </c>
      <c r="DP229" s="160">
        <v>0</v>
      </c>
      <c r="DR229" s="161">
        <v>6442</v>
      </c>
      <c r="DS229" s="116">
        <v>-773</v>
      </c>
      <c r="DT229" s="117">
        <v>-20</v>
      </c>
      <c r="DU229" s="116">
        <v>505</v>
      </c>
      <c r="DV229" s="116">
        <v>7</v>
      </c>
      <c r="DW229" s="160">
        <v>5151</v>
      </c>
      <c r="DX229" s="160">
        <v>41830</v>
      </c>
      <c r="DY229" s="116">
        <v>22280</v>
      </c>
      <c r="DZ229" s="150"/>
      <c r="EA229" s="117">
        <v>-4338</v>
      </c>
      <c r="EB229" s="116">
        <v>-13800</v>
      </c>
      <c r="EC229" s="159">
        <v>3247</v>
      </c>
      <c r="EE229" s="125"/>
      <c r="EF229" s="161"/>
      <c r="EG229" s="124"/>
      <c r="EH229" s="253">
        <v>20.75</v>
      </c>
      <c r="EI229" s="130"/>
      <c r="EJ229" s="125">
        <v>144</v>
      </c>
      <c r="EK229" s="116"/>
      <c r="EL229" s="159"/>
      <c r="EN229" s="116"/>
      <c r="EO229" s="116"/>
      <c r="EP229" s="159"/>
      <c r="EQ229" s="159">
        <v>-21835</v>
      </c>
      <c r="ER229" s="116">
        <v>638</v>
      </c>
      <c r="ES229" s="116">
        <v>385</v>
      </c>
      <c r="ET229" s="160">
        <v>-23936</v>
      </c>
      <c r="EU229" s="116">
        <v>29</v>
      </c>
      <c r="EV229" s="116">
        <v>-1025</v>
      </c>
      <c r="EW229" s="160">
        <v>-19731</v>
      </c>
      <c r="EX229" s="160">
        <v>526</v>
      </c>
      <c r="EY229" s="160">
        <v>172</v>
      </c>
      <c r="EZ229" s="116">
        <v>18305</v>
      </c>
      <c r="FA229" s="116">
        <v>-61</v>
      </c>
      <c r="FB229" s="116">
        <v>23998</v>
      </c>
      <c r="FC229" s="160">
        <v>3471</v>
      </c>
      <c r="FD229" s="116">
        <v>19805</v>
      </c>
      <c r="FE229" s="116">
        <v>-4371</v>
      </c>
      <c r="FF229" s="3">
        <v>92777</v>
      </c>
      <c r="FG229" s="3">
        <v>81434</v>
      </c>
      <c r="FH229" s="3">
        <v>11343</v>
      </c>
      <c r="FI229" s="3">
        <v>190</v>
      </c>
      <c r="FJ229" s="125">
        <v>109067</v>
      </c>
      <c r="FK229" s="160">
        <v>92338</v>
      </c>
      <c r="FL229" s="125">
        <v>16729</v>
      </c>
      <c r="FM229" s="116">
        <v>179</v>
      </c>
      <c r="FN229" s="125">
        <v>111650</v>
      </c>
      <c r="FO229" s="116">
        <v>97193</v>
      </c>
      <c r="FP229" s="116">
        <v>14457</v>
      </c>
      <c r="FQ229" s="116">
        <v>-4338</v>
      </c>
      <c r="FR229" s="153">
        <v>18672</v>
      </c>
      <c r="FS229" s="153">
        <v>17427</v>
      </c>
      <c r="FT229" s="276">
        <v>16332</v>
      </c>
      <c r="FU229" s="3">
        <v>15943</v>
      </c>
      <c r="FV229" s="159">
        <v>21254</v>
      </c>
      <c r="FW229" s="170"/>
      <c r="FZ229" s="155"/>
      <c r="GA229" s="2"/>
      <c r="GD229" s="163"/>
      <c r="GE229" s="2"/>
      <c r="GF229" s="2"/>
    </row>
    <row r="230" spans="1:188" ht="14.5" x14ac:dyDescent="0.35">
      <c r="A230" s="72">
        <v>738</v>
      </c>
      <c r="B230" s="70" t="s">
        <v>220</v>
      </c>
      <c r="C230" s="158">
        <v>2994</v>
      </c>
      <c r="D230" s="171"/>
      <c r="E230" s="128">
        <v>1.2543171114599685</v>
      </c>
      <c r="F230" s="128">
        <v>57.037411133988577</v>
      </c>
      <c r="G230" s="129">
        <v>-4118.5704742818971</v>
      </c>
      <c r="H230" s="216"/>
      <c r="I230" s="172"/>
      <c r="J230" s="218"/>
      <c r="K230" s="128">
        <v>29.165883016738764</v>
      </c>
      <c r="L230" s="129">
        <v>264.19505678022716</v>
      </c>
      <c r="M230" s="129">
        <v>11.020918425773944</v>
      </c>
      <c r="N230" s="129">
        <v>8749.8329993319985</v>
      </c>
      <c r="O230" s="129"/>
      <c r="P230" s="117">
        <v>9781</v>
      </c>
      <c r="Q230" s="161">
        <v>24967</v>
      </c>
      <c r="R230" s="161">
        <v>1</v>
      </c>
      <c r="S230" s="161">
        <v>-15185</v>
      </c>
      <c r="T230" s="124">
        <v>11462</v>
      </c>
      <c r="U230" s="124">
        <v>4498</v>
      </c>
      <c r="V230" s="136"/>
      <c r="X230" s="116">
        <v>-41</v>
      </c>
      <c r="Y230" s="116">
        <v>12</v>
      </c>
      <c r="Z230" s="161">
        <v>746</v>
      </c>
      <c r="AA230" s="116">
        <v>996</v>
      </c>
      <c r="AB230" s="116">
        <v>0</v>
      </c>
      <c r="AD230" s="161">
        <v>-250</v>
      </c>
      <c r="AE230" s="117">
        <v>-1</v>
      </c>
      <c r="AF230" s="117">
        <v>0</v>
      </c>
      <c r="AG230" s="116">
        <v>1</v>
      </c>
      <c r="AH230" s="117">
        <v>-4</v>
      </c>
      <c r="AI230" s="160">
        <v>-254</v>
      </c>
      <c r="AJ230" s="161">
        <v>-1374</v>
      </c>
      <c r="AK230" s="161">
        <v>718</v>
      </c>
      <c r="AL230" s="150"/>
      <c r="AM230" s="161">
        <v>-114</v>
      </c>
      <c r="AN230" s="161">
        <v>-584</v>
      </c>
      <c r="AO230" s="160">
        <v>195</v>
      </c>
      <c r="AQ230" s="160"/>
      <c r="AR230" s="117"/>
      <c r="AS230" s="117"/>
      <c r="AT230" s="99">
        <v>21.5</v>
      </c>
      <c r="AU230" s="130"/>
      <c r="AV230" s="262">
        <v>239</v>
      </c>
      <c r="AW230" s="267">
        <v>2945</v>
      </c>
      <c r="AX230" s="124"/>
      <c r="AY230" s="255">
        <v>1.1804878048780487</v>
      </c>
      <c r="AZ230" s="259">
        <v>61.955161033344716</v>
      </c>
      <c r="BA230" s="160">
        <v>-4671.3073005093383</v>
      </c>
      <c r="BB230" s="130"/>
      <c r="BC230" s="130"/>
      <c r="BD230" s="130"/>
      <c r="BE230" s="128">
        <v>25.113727588975113</v>
      </c>
      <c r="BF230" s="160">
        <v>348.72665534804753</v>
      </c>
      <c r="BG230" s="129">
        <v>10.092107102908278</v>
      </c>
      <c r="BH230" s="131">
        <v>9714.0916808149395</v>
      </c>
      <c r="BI230" s="124"/>
      <c r="BJ230" s="117">
        <v>10318</v>
      </c>
      <c r="BK230" s="117">
        <v>25897</v>
      </c>
      <c r="BL230" s="161">
        <v>5</v>
      </c>
      <c r="BM230" s="161">
        <v>-15574</v>
      </c>
      <c r="BN230" s="117">
        <v>11370</v>
      </c>
      <c r="BO230" s="117">
        <v>4673</v>
      </c>
      <c r="BP230" s="136"/>
      <c r="BR230" s="160">
        <v>-34</v>
      </c>
      <c r="BS230" s="160">
        <v>9</v>
      </c>
      <c r="BT230" s="161">
        <v>444</v>
      </c>
      <c r="BU230" s="125">
        <v>1010</v>
      </c>
      <c r="BV230" s="160">
        <v>0</v>
      </c>
      <c r="BX230" s="161">
        <v>-566</v>
      </c>
      <c r="BY230" s="161">
        <v>0</v>
      </c>
      <c r="BZ230" s="160">
        <v>0</v>
      </c>
      <c r="CA230" s="161">
        <v>0</v>
      </c>
      <c r="CB230" s="161">
        <v>-7</v>
      </c>
      <c r="CC230" s="160">
        <v>-573</v>
      </c>
      <c r="CD230" s="160">
        <v>-1949</v>
      </c>
      <c r="CE230" s="116">
        <v>435</v>
      </c>
      <c r="CF230" s="150"/>
      <c r="CG230" s="161">
        <v>11</v>
      </c>
      <c r="CH230" s="160">
        <v>-370</v>
      </c>
      <c r="CI230" s="159">
        <v>-1495</v>
      </c>
      <c r="CK230" s="124"/>
      <c r="CL230" s="161"/>
      <c r="CM230" s="124"/>
      <c r="CN230" s="265">
        <v>21.5</v>
      </c>
      <c r="CO230" s="130"/>
      <c r="CP230" s="116">
        <v>250</v>
      </c>
      <c r="CQ230" s="267">
        <v>2950</v>
      </c>
      <c r="CR230" s="124"/>
      <c r="CS230" s="268">
        <v>6.9183168316831685</v>
      </c>
      <c r="CT230" s="269">
        <v>60.465279730109643</v>
      </c>
      <c r="CU230" s="160">
        <v>-5014.57627118644</v>
      </c>
      <c r="CV230" s="130"/>
      <c r="CW230" s="130"/>
      <c r="CX230" s="130"/>
      <c r="CY230" s="269">
        <v>29.547449916194427</v>
      </c>
      <c r="CZ230" s="125">
        <v>290.16949152542372</v>
      </c>
      <c r="DA230" s="125">
        <v>10.430660345863657</v>
      </c>
      <c r="DB230" s="273">
        <v>10153.898305084746</v>
      </c>
      <c r="DC230" s="124"/>
      <c r="DD230" s="117">
        <v>10535</v>
      </c>
      <c r="DE230" s="117">
        <v>25710</v>
      </c>
      <c r="DF230" s="117">
        <v>6</v>
      </c>
      <c r="DG230" s="117">
        <v>-15169</v>
      </c>
      <c r="DH230" s="117">
        <v>11631</v>
      </c>
      <c r="DI230" s="117">
        <v>6290</v>
      </c>
      <c r="DJ230" s="136"/>
      <c r="DL230" s="160">
        <v>-27</v>
      </c>
      <c r="DM230" s="160">
        <v>23</v>
      </c>
      <c r="DN230" s="161">
        <v>2748</v>
      </c>
      <c r="DO230" s="116">
        <v>971</v>
      </c>
      <c r="DP230" s="160">
        <v>0</v>
      </c>
      <c r="DR230" s="161">
        <v>1777</v>
      </c>
      <c r="DS230" s="117">
        <v>-1</v>
      </c>
      <c r="DT230" s="116">
        <v>0</v>
      </c>
      <c r="DU230" s="117">
        <v>1</v>
      </c>
      <c r="DV230" s="117">
        <v>-6</v>
      </c>
      <c r="DW230" s="160">
        <v>1769</v>
      </c>
      <c r="DX230" s="160">
        <v>-179</v>
      </c>
      <c r="DY230" s="116">
        <v>2698</v>
      </c>
      <c r="DZ230" s="150"/>
      <c r="EA230" s="117">
        <v>-9</v>
      </c>
      <c r="EB230" s="116">
        <v>-357</v>
      </c>
      <c r="EC230" s="159">
        <v>-956</v>
      </c>
      <c r="EE230" s="125"/>
      <c r="EF230" s="161"/>
      <c r="EG230" s="124"/>
      <c r="EH230" s="253">
        <v>21.5</v>
      </c>
      <c r="EI230" s="130"/>
      <c r="EJ230" s="125">
        <v>167</v>
      </c>
      <c r="EK230" s="116"/>
      <c r="EL230" s="159"/>
      <c r="EN230" s="116"/>
      <c r="EO230" s="116"/>
      <c r="EP230" s="159"/>
      <c r="EQ230" s="159">
        <v>-592</v>
      </c>
      <c r="ER230" s="116">
        <v>12</v>
      </c>
      <c r="ES230" s="116">
        <v>57</v>
      </c>
      <c r="ET230" s="160">
        <v>-2299</v>
      </c>
      <c r="EU230" s="116">
        <v>3</v>
      </c>
      <c r="EV230" s="116">
        <v>366</v>
      </c>
      <c r="EW230" s="160">
        <v>-3779</v>
      </c>
      <c r="EX230" s="160">
        <v>36</v>
      </c>
      <c r="EY230" s="160">
        <v>89</v>
      </c>
      <c r="EZ230" s="116">
        <v>157</v>
      </c>
      <c r="FA230" s="116">
        <v>-31</v>
      </c>
      <c r="FB230" s="116">
        <v>7</v>
      </c>
      <c r="FC230" s="160">
        <v>1521</v>
      </c>
      <c r="FD230" s="116">
        <v>4008</v>
      </c>
      <c r="FE230" s="116">
        <v>-2797</v>
      </c>
      <c r="FF230" s="3">
        <v>11515</v>
      </c>
      <c r="FG230" s="3">
        <v>3631</v>
      </c>
      <c r="FH230" s="3">
        <v>7884</v>
      </c>
      <c r="FI230" s="3">
        <v>0</v>
      </c>
      <c r="FJ230" s="125">
        <v>12673</v>
      </c>
      <c r="FK230" s="160">
        <v>3268</v>
      </c>
      <c r="FL230" s="125">
        <v>9405</v>
      </c>
      <c r="FM230" s="116">
        <v>0</v>
      </c>
      <c r="FN230" s="125">
        <v>13569</v>
      </c>
      <c r="FO230" s="116">
        <v>6400</v>
      </c>
      <c r="FP230" s="116">
        <v>7169</v>
      </c>
      <c r="FQ230" s="116">
        <v>-9</v>
      </c>
      <c r="FR230" s="153">
        <v>1271</v>
      </c>
      <c r="FS230" s="153">
        <v>1257</v>
      </c>
      <c r="FT230" s="276">
        <v>1184</v>
      </c>
      <c r="FU230" s="3">
        <v>1711</v>
      </c>
      <c r="FV230" s="159">
        <v>1693</v>
      </c>
      <c r="FW230" s="170"/>
      <c r="FZ230" s="155"/>
      <c r="GA230" s="2"/>
      <c r="GD230" s="163"/>
      <c r="GE230" s="2"/>
      <c r="GF230" s="2"/>
    </row>
    <row r="231" spans="1:188" ht="14.5" x14ac:dyDescent="0.35">
      <c r="A231" s="72">
        <v>739</v>
      </c>
      <c r="B231" s="70" t="s">
        <v>221</v>
      </c>
      <c r="C231" s="158">
        <v>3429</v>
      </c>
      <c r="D231" s="171"/>
      <c r="E231" s="128">
        <v>0.85361972951471754</v>
      </c>
      <c r="F231" s="128">
        <v>36.390753169276657</v>
      </c>
      <c r="G231" s="129">
        <v>-3655.2930883639547</v>
      </c>
      <c r="H231" s="216"/>
      <c r="I231" s="172"/>
      <c r="J231" s="218"/>
      <c r="K231" s="128">
        <v>44.236117083799201</v>
      </c>
      <c r="L231" s="129">
        <v>623.2137649460484</v>
      </c>
      <c r="M231" s="129">
        <v>15.330286949685535</v>
      </c>
      <c r="N231" s="129">
        <v>14838.145231846018</v>
      </c>
      <c r="O231" s="129"/>
      <c r="P231" s="117">
        <v>24211</v>
      </c>
      <c r="Q231" s="161">
        <v>47115</v>
      </c>
      <c r="R231" s="161">
        <v>-121</v>
      </c>
      <c r="S231" s="161">
        <v>-23025</v>
      </c>
      <c r="T231" s="124">
        <v>12131</v>
      </c>
      <c r="U231" s="124">
        <v>11934</v>
      </c>
      <c r="V231" s="136"/>
      <c r="X231" s="116">
        <v>-95</v>
      </c>
      <c r="Y231" s="116">
        <v>25</v>
      </c>
      <c r="Z231" s="161">
        <v>970</v>
      </c>
      <c r="AA231" s="116">
        <v>1811</v>
      </c>
      <c r="AB231" s="117">
        <v>0</v>
      </c>
      <c r="AD231" s="161">
        <v>-841</v>
      </c>
      <c r="AE231" s="117">
        <v>-3</v>
      </c>
      <c r="AF231" s="117">
        <v>3</v>
      </c>
      <c r="AG231" s="116">
        <v>0</v>
      </c>
      <c r="AH231" s="116">
        <v>-6</v>
      </c>
      <c r="AI231" s="160">
        <v>-847</v>
      </c>
      <c r="AJ231" s="161">
        <v>2445</v>
      </c>
      <c r="AK231" s="161">
        <v>973</v>
      </c>
      <c r="AL231" s="150"/>
      <c r="AM231" s="161">
        <v>579</v>
      </c>
      <c r="AN231" s="161">
        <v>-1154</v>
      </c>
      <c r="AO231" s="160">
        <v>-835</v>
      </c>
      <c r="AQ231" s="160"/>
      <c r="AR231" s="117"/>
      <c r="AS231" s="117"/>
      <c r="AT231" s="99">
        <v>21.5</v>
      </c>
      <c r="AU231" s="130"/>
      <c r="AV231" s="262">
        <v>226</v>
      </c>
      <c r="AW231" s="267">
        <v>3383</v>
      </c>
      <c r="AX231" s="124"/>
      <c r="AY231" s="255">
        <v>3.9081996434937611</v>
      </c>
      <c r="AZ231" s="259">
        <v>33.604995337144707</v>
      </c>
      <c r="BA231" s="160">
        <v>-2689.624593556015</v>
      </c>
      <c r="BB231" s="130"/>
      <c r="BC231" s="130"/>
      <c r="BD231" s="130"/>
      <c r="BE231" s="128">
        <v>48.455213483759934</v>
      </c>
      <c r="BF231" s="160">
        <v>440.43748152527343</v>
      </c>
      <c r="BG231" s="129">
        <v>16.35985150383825</v>
      </c>
      <c r="BH231" s="131">
        <v>14093.408217558381</v>
      </c>
      <c r="BI231" s="124"/>
      <c r="BJ231" s="117">
        <v>24988</v>
      </c>
      <c r="BK231" s="117">
        <v>44916</v>
      </c>
      <c r="BL231" s="161">
        <v>-75</v>
      </c>
      <c r="BM231" s="161">
        <v>-20003</v>
      </c>
      <c r="BN231" s="117">
        <v>12185</v>
      </c>
      <c r="BO231" s="117">
        <v>12153</v>
      </c>
      <c r="BP231" s="136"/>
      <c r="BR231" s="160">
        <v>-82</v>
      </c>
      <c r="BS231" s="160">
        <v>44</v>
      </c>
      <c r="BT231" s="161">
        <v>4297</v>
      </c>
      <c r="BU231" s="125">
        <v>1717</v>
      </c>
      <c r="BV231" s="161">
        <v>254</v>
      </c>
      <c r="BW231" s="117"/>
      <c r="BX231" s="161">
        <v>2834</v>
      </c>
      <c r="BY231" s="161">
        <v>0</v>
      </c>
      <c r="BZ231" s="160">
        <v>6</v>
      </c>
      <c r="CA231" s="160">
        <v>0</v>
      </c>
      <c r="CB231" s="160">
        <v>-1</v>
      </c>
      <c r="CC231" s="160">
        <v>2839</v>
      </c>
      <c r="CD231" s="160">
        <v>4806</v>
      </c>
      <c r="CE231" s="116">
        <v>4202</v>
      </c>
      <c r="CF231" s="150"/>
      <c r="CG231" s="160">
        <v>-3091</v>
      </c>
      <c r="CH231" s="160">
        <v>-1034</v>
      </c>
      <c r="CI231" s="159">
        <v>3434</v>
      </c>
      <c r="CK231" s="124"/>
      <c r="CL231" s="161"/>
      <c r="CM231" s="124"/>
      <c r="CN231" s="265">
        <v>21.5</v>
      </c>
      <c r="CO231" s="130"/>
      <c r="CP231" s="116">
        <v>8</v>
      </c>
      <c r="CQ231" s="267">
        <v>3326</v>
      </c>
      <c r="CR231" s="124"/>
      <c r="CS231" s="268">
        <v>2.3984306887532694</v>
      </c>
      <c r="CT231" s="269">
        <v>30.723893002871392</v>
      </c>
      <c r="CU231" s="160">
        <v>-2224.5941070354779</v>
      </c>
      <c r="CV231" s="130"/>
      <c r="CW231" s="130"/>
      <c r="CX231" s="130"/>
      <c r="CY231" s="269">
        <v>50.208151035451969</v>
      </c>
      <c r="CZ231" s="125">
        <v>1784.1250751653638</v>
      </c>
      <c r="DA231" s="125">
        <v>39.596160877513711</v>
      </c>
      <c r="DB231" s="273">
        <v>16446.181599518939</v>
      </c>
      <c r="DC231" s="124"/>
      <c r="DD231" s="117">
        <v>26492</v>
      </c>
      <c r="DE231" s="117">
        <v>50042</v>
      </c>
      <c r="DF231" s="117">
        <v>-73</v>
      </c>
      <c r="DG231" s="117">
        <v>-23623</v>
      </c>
      <c r="DH231" s="117">
        <v>12743</v>
      </c>
      <c r="DI231" s="117">
        <v>13701</v>
      </c>
      <c r="DJ231" s="136"/>
      <c r="DL231" s="160">
        <v>-55</v>
      </c>
      <c r="DM231" s="160">
        <v>-104</v>
      </c>
      <c r="DN231" s="161">
        <v>2662</v>
      </c>
      <c r="DO231" s="116">
        <v>1673</v>
      </c>
      <c r="DP231" s="161">
        <v>33</v>
      </c>
      <c r="DQ231" s="117"/>
      <c r="DR231" s="161">
        <v>1022</v>
      </c>
      <c r="DS231" s="117">
        <v>0</v>
      </c>
      <c r="DT231" s="116">
        <v>238</v>
      </c>
      <c r="DU231" s="116">
        <v>0</v>
      </c>
      <c r="DV231" s="116">
        <v>0</v>
      </c>
      <c r="DW231" s="160">
        <v>1260</v>
      </c>
      <c r="DX231" s="160">
        <v>6889</v>
      </c>
      <c r="DY231" s="116">
        <v>3802</v>
      </c>
      <c r="DZ231" s="150"/>
      <c r="EA231" s="116">
        <v>3058</v>
      </c>
      <c r="EB231" s="116">
        <v>-1058</v>
      </c>
      <c r="EC231" s="159">
        <v>1401</v>
      </c>
      <c r="EE231" s="125"/>
      <c r="EF231" s="161"/>
      <c r="EG231" s="124"/>
      <c r="EH231" s="253">
        <v>21.5</v>
      </c>
      <c r="EI231" s="130"/>
      <c r="EJ231" s="125">
        <v>221</v>
      </c>
      <c r="EK231" s="116"/>
      <c r="EL231" s="159"/>
      <c r="EN231" s="116"/>
      <c r="EO231" s="116"/>
      <c r="EP231" s="159"/>
      <c r="EQ231" s="159">
        <v>-2502</v>
      </c>
      <c r="ER231" s="116">
        <v>63</v>
      </c>
      <c r="ES231" s="116">
        <v>631</v>
      </c>
      <c r="ET231" s="160">
        <v>-1638</v>
      </c>
      <c r="EU231" s="116">
        <v>243</v>
      </c>
      <c r="EV231" s="116">
        <v>627</v>
      </c>
      <c r="EW231" s="160">
        <v>-3356</v>
      </c>
      <c r="EX231" s="160">
        <v>-32</v>
      </c>
      <c r="EY231" s="160">
        <v>987</v>
      </c>
      <c r="EZ231" s="116">
        <v>1868</v>
      </c>
      <c r="FA231" s="116">
        <v>18</v>
      </c>
      <c r="FB231" s="116">
        <v>64</v>
      </c>
      <c r="FC231" s="160">
        <v>20</v>
      </c>
      <c r="FD231" s="116">
        <v>768</v>
      </c>
      <c r="FE231" s="116">
        <v>421</v>
      </c>
      <c r="FF231" s="3">
        <v>11863</v>
      </c>
      <c r="FG231" s="3">
        <v>10694</v>
      </c>
      <c r="FH231" s="3">
        <v>1169</v>
      </c>
      <c r="FI231" s="3">
        <v>759</v>
      </c>
      <c r="FJ231" s="125">
        <v>10900</v>
      </c>
      <c r="FK231" s="160">
        <v>9659</v>
      </c>
      <c r="FL231" s="125">
        <v>1241</v>
      </c>
      <c r="FM231" s="116">
        <v>716</v>
      </c>
      <c r="FN231" s="125">
        <v>10291</v>
      </c>
      <c r="FO231" s="116">
        <v>8692</v>
      </c>
      <c r="FP231" s="116">
        <v>1599</v>
      </c>
      <c r="FQ231" s="116">
        <v>3058</v>
      </c>
      <c r="FR231" s="153">
        <v>2766</v>
      </c>
      <c r="FS231" s="153">
        <v>2604</v>
      </c>
      <c r="FT231" s="276">
        <v>2501</v>
      </c>
      <c r="FU231" s="3">
        <v>3564</v>
      </c>
      <c r="FV231" s="159">
        <v>3119</v>
      </c>
      <c r="FW231" s="170"/>
      <c r="FZ231" s="155"/>
      <c r="GA231" s="2"/>
      <c r="GD231" s="163"/>
      <c r="GE231" s="2"/>
      <c r="GF231" s="2"/>
    </row>
    <row r="232" spans="1:188" ht="14.5" x14ac:dyDescent="0.35">
      <c r="A232" s="72">
        <v>740</v>
      </c>
      <c r="B232" s="70" t="s">
        <v>222</v>
      </c>
      <c r="C232" s="158">
        <v>33611</v>
      </c>
      <c r="D232" s="171"/>
      <c r="E232" s="128">
        <v>0.69362200589732192</v>
      </c>
      <c r="F232" s="128">
        <v>80.158237910982521</v>
      </c>
      <c r="G232" s="129">
        <v>-6488.2032667876592</v>
      </c>
      <c r="H232" s="216"/>
      <c r="I232" s="172"/>
      <c r="J232" s="218"/>
      <c r="K232" s="128">
        <v>36.161985327974968</v>
      </c>
      <c r="L232" s="129">
        <v>353.45571390318645</v>
      </c>
      <c r="M232" s="129">
        <v>12.363673689342811</v>
      </c>
      <c r="N232" s="129">
        <v>10434.708875070663</v>
      </c>
      <c r="O232" s="129"/>
      <c r="P232" s="117">
        <v>94460</v>
      </c>
      <c r="Q232" s="161">
        <v>301459</v>
      </c>
      <c r="R232" s="161">
        <v>-29</v>
      </c>
      <c r="S232" s="161">
        <v>-207028</v>
      </c>
      <c r="T232" s="124">
        <v>128487</v>
      </c>
      <c r="U232" s="124">
        <v>94676</v>
      </c>
      <c r="V232" s="136"/>
      <c r="X232" s="116">
        <v>-1845</v>
      </c>
      <c r="Y232" s="116">
        <v>986</v>
      </c>
      <c r="Z232" s="161">
        <v>15276</v>
      </c>
      <c r="AA232" s="116">
        <v>19671</v>
      </c>
      <c r="AB232" s="117">
        <v>0</v>
      </c>
      <c r="AD232" s="161">
        <v>-4395</v>
      </c>
      <c r="AE232" s="116">
        <v>-54</v>
      </c>
      <c r="AF232" s="116">
        <v>14</v>
      </c>
      <c r="AG232" s="116">
        <v>-308</v>
      </c>
      <c r="AH232" s="116">
        <v>31</v>
      </c>
      <c r="AI232" s="160">
        <v>-4712</v>
      </c>
      <c r="AJ232" s="161">
        <v>-3499</v>
      </c>
      <c r="AK232" s="161">
        <v>13702</v>
      </c>
      <c r="AL232" s="150"/>
      <c r="AM232" s="161">
        <v>-5248</v>
      </c>
      <c r="AN232" s="161">
        <v>-22861</v>
      </c>
      <c r="AO232" s="160">
        <v>-6347</v>
      </c>
      <c r="AQ232" s="160"/>
      <c r="AR232" s="117"/>
      <c r="AS232" s="117"/>
      <c r="AT232" s="99">
        <v>22</v>
      </c>
      <c r="AU232" s="130"/>
      <c r="AV232" s="262">
        <v>159</v>
      </c>
      <c r="AW232" s="267">
        <v>32974</v>
      </c>
      <c r="AX232" s="124"/>
      <c r="AY232" s="255">
        <v>0.83339887272250623</v>
      </c>
      <c r="AZ232" s="259">
        <v>78.549101656783108</v>
      </c>
      <c r="BA232" s="160">
        <v>-6361.436283132165</v>
      </c>
      <c r="BB232" s="130"/>
      <c r="BC232" s="130"/>
      <c r="BD232" s="130"/>
      <c r="BE232" s="128">
        <v>35.845232906598504</v>
      </c>
      <c r="BF232" s="160">
        <v>599.1083884272457</v>
      </c>
      <c r="BG232" s="129">
        <v>11.458404930131232</v>
      </c>
      <c r="BH232" s="131">
        <v>10412.992054345848</v>
      </c>
      <c r="BI232" s="124"/>
      <c r="BJ232" s="117">
        <v>91714</v>
      </c>
      <c r="BK232" s="117">
        <v>299368</v>
      </c>
      <c r="BL232" s="161">
        <v>-56</v>
      </c>
      <c r="BM232" s="161">
        <v>-207710</v>
      </c>
      <c r="BN232" s="117">
        <v>130350</v>
      </c>
      <c r="BO232" s="117">
        <v>95298</v>
      </c>
      <c r="BP232" s="136"/>
      <c r="BR232" s="160">
        <v>-1389</v>
      </c>
      <c r="BS232" s="160">
        <v>1096</v>
      </c>
      <c r="BT232" s="161">
        <v>17645</v>
      </c>
      <c r="BU232" s="125">
        <v>23523</v>
      </c>
      <c r="BV232" s="161">
        <v>-2402</v>
      </c>
      <c r="BX232" s="161">
        <v>-8280</v>
      </c>
      <c r="BY232" s="160">
        <v>-8</v>
      </c>
      <c r="BZ232" s="160">
        <v>2</v>
      </c>
      <c r="CA232" s="160">
        <v>27</v>
      </c>
      <c r="CB232" s="160">
        <v>87</v>
      </c>
      <c r="CC232" s="160">
        <v>-8226</v>
      </c>
      <c r="CD232" s="160">
        <v>-10549</v>
      </c>
      <c r="CE232" s="116">
        <v>16638</v>
      </c>
      <c r="CF232" s="150"/>
      <c r="CG232" s="161">
        <v>4830</v>
      </c>
      <c r="CH232" s="160">
        <v>-21458</v>
      </c>
      <c r="CI232" s="159">
        <v>5697</v>
      </c>
      <c r="CK232" s="124"/>
      <c r="CL232" s="161"/>
      <c r="CM232" s="124"/>
      <c r="CN232" s="265">
        <v>22.25</v>
      </c>
      <c r="CO232" s="130"/>
      <c r="CP232" s="116">
        <v>111</v>
      </c>
      <c r="CQ232" s="267">
        <v>32662</v>
      </c>
      <c r="CR232" s="124"/>
      <c r="CS232" s="268">
        <v>1.163147650841361</v>
      </c>
      <c r="CT232" s="269">
        <v>70.218510721429453</v>
      </c>
      <c r="CU232" s="160">
        <v>-5570.7243891984572</v>
      </c>
      <c r="CV232" s="130"/>
      <c r="CW232" s="130"/>
      <c r="CX232" s="130"/>
      <c r="CY232" s="269">
        <v>40.038134518677303</v>
      </c>
      <c r="CZ232" s="125">
        <v>1242.9734860082053</v>
      </c>
      <c r="DA232" s="125">
        <v>40.76777264223616</v>
      </c>
      <c r="DB232" s="273">
        <v>11128.528565305247</v>
      </c>
      <c r="DC232" s="124"/>
      <c r="DD232" s="117">
        <v>91430</v>
      </c>
      <c r="DE232" s="117">
        <v>296963</v>
      </c>
      <c r="DF232" s="117">
        <v>-14</v>
      </c>
      <c r="DG232" s="117">
        <v>-205547</v>
      </c>
      <c r="DH232" s="117">
        <v>137980</v>
      </c>
      <c r="DI232" s="117">
        <v>113548</v>
      </c>
      <c r="DJ232" s="136"/>
      <c r="DL232" s="160">
        <v>-1166</v>
      </c>
      <c r="DM232" s="160">
        <v>1202</v>
      </c>
      <c r="DN232" s="161">
        <v>46017</v>
      </c>
      <c r="DO232" s="116">
        <v>23086</v>
      </c>
      <c r="DP232" s="161">
        <v>167</v>
      </c>
      <c r="DR232" s="161">
        <v>23098</v>
      </c>
      <c r="DS232" s="116">
        <v>-26</v>
      </c>
      <c r="DT232" s="116">
        <v>-192</v>
      </c>
      <c r="DU232" s="116">
        <v>74</v>
      </c>
      <c r="DV232" s="116">
        <v>175</v>
      </c>
      <c r="DW232" s="160">
        <v>22981</v>
      </c>
      <c r="DX232" s="160">
        <v>11692</v>
      </c>
      <c r="DY232" s="116">
        <v>44990</v>
      </c>
      <c r="DZ232" s="150"/>
      <c r="EA232" s="117">
        <v>896</v>
      </c>
      <c r="EB232" s="116">
        <v>-39395</v>
      </c>
      <c r="EC232" s="159">
        <v>29430</v>
      </c>
      <c r="EE232" s="125"/>
      <c r="EF232" s="161"/>
      <c r="EG232" s="124"/>
      <c r="EH232" s="253">
        <v>22.75</v>
      </c>
      <c r="EI232" s="130"/>
      <c r="EJ232" s="125">
        <v>31</v>
      </c>
      <c r="EK232" s="116"/>
      <c r="EL232" s="159"/>
      <c r="EN232" s="116"/>
      <c r="EO232" s="116"/>
      <c r="EP232" s="159"/>
      <c r="EQ232" s="159">
        <v>-22563</v>
      </c>
      <c r="ER232" s="116">
        <v>252</v>
      </c>
      <c r="ES232" s="116">
        <v>2262</v>
      </c>
      <c r="ET232" s="160">
        <v>-17327</v>
      </c>
      <c r="EU232" s="116">
        <v>194</v>
      </c>
      <c r="EV232" s="116">
        <v>6192</v>
      </c>
      <c r="EW232" s="160">
        <v>-25818</v>
      </c>
      <c r="EX232" s="160">
        <v>658</v>
      </c>
      <c r="EY232" s="160">
        <v>9600</v>
      </c>
      <c r="EZ232" s="116">
        <v>22658</v>
      </c>
      <c r="FA232" s="116">
        <v>4781</v>
      </c>
      <c r="FB232" s="116">
        <v>27145</v>
      </c>
      <c r="FC232" s="160">
        <v>-1559</v>
      </c>
      <c r="FD232" s="116">
        <v>38242</v>
      </c>
      <c r="FE232" s="116">
        <v>-8269</v>
      </c>
      <c r="FF232" s="3">
        <v>204319</v>
      </c>
      <c r="FG232" s="3">
        <v>142295</v>
      </c>
      <c r="FH232" s="3">
        <v>62024</v>
      </c>
      <c r="FI232" s="3">
        <v>831</v>
      </c>
      <c r="FJ232" s="125">
        <v>203657</v>
      </c>
      <c r="FK232" s="160">
        <v>134151</v>
      </c>
      <c r="FL232" s="125">
        <v>69506</v>
      </c>
      <c r="FM232" s="116">
        <v>1067</v>
      </c>
      <c r="FN232" s="125">
        <v>194374</v>
      </c>
      <c r="FO232" s="116">
        <v>143118</v>
      </c>
      <c r="FP232" s="116">
        <v>51256</v>
      </c>
      <c r="FQ232" s="116">
        <v>896</v>
      </c>
      <c r="FR232" s="153">
        <v>2100</v>
      </c>
      <c r="FS232" s="153">
        <v>1698</v>
      </c>
      <c r="FT232" s="276">
        <v>1574</v>
      </c>
      <c r="FU232" s="3">
        <v>15616</v>
      </c>
      <c r="FV232" s="159">
        <v>16116</v>
      </c>
      <c r="FW232" s="170"/>
      <c r="FZ232" s="155"/>
      <c r="GA232" s="2"/>
      <c r="GD232" s="163"/>
      <c r="GE232" s="2"/>
      <c r="GF232" s="2"/>
    </row>
    <row r="233" spans="1:188" ht="14.5" x14ac:dyDescent="0.35">
      <c r="A233" s="72">
        <v>742</v>
      </c>
      <c r="B233" s="70" t="s">
        <v>223</v>
      </c>
      <c r="C233" s="158">
        <v>1015</v>
      </c>
      <c r="D233" s="171"/>
      <c r="E233" s="128">
        <v>0.59539473684210531</v>
      </c>
      <c r="F233" s="128">
        <v>28.319013303769403</v>
      </c>
      <c r="G233" s="129">
        <v>-1081.7733990147785</v>
      </c>
      <c r="H233" s="216"/>
      <c r="I233" s="172"/>
      <c r="J233" s="218"/>
      <c r="K233" s="128">
        <v>53.002136752136749</v>
      </c>
      <c r="L233" s="129">
        <v>1996.0591133004925</v>
      </c>
      <c r="M233" s="129">
        <v>48.231802765457864</v>
      </c>
      <c r="N233" s="129">
        <v>15105.418719211822</v>
      </c>
      <c r="O233" s="129"/>
      <c r="P233" s="117">
        <v>5950</v>
      </c>
      <c r="Q233" s="161">
        <v>14252</v>
      </c>
      <c r="R233" s="161">
        <v>0</v>
      </c>
      <c r="S233" s="161">
        <v>-8302</v>
      </c>
      <c r="T233" s="124">
        <v>3965</v>
      </c>
      <c r="U233" s="124">
        <v>4517</v>
      </c>
      <c r="V233" s="136"/>
      <c r="X233" s="116">
        <v>-15</v>
      </c>
      <c r="Y233" s="116">
        <v>1</v>
      </c>
      <c r="Z233" s="161">
        <v>166</v>
      </c>
      <c r="AA233" s="116">
        <v>516</v>
      </c>
      <c r="AB233" s="116">
        <v>0</v>
      </c>
      <c r="AD233" s="161">
        <v>-350</v>
      </c>
      <c r="AE233" s="116">
        <v>1</v>
      </c>
      <c r="AF233" s="116">
        <v>5</v>
      </c>
      <c r="AG233" s="116">
        <v>0</v>
      </c>
      <c r="AH233" s="116">
        <v>0</v>
      </c>
      <c r="AI233" s="160">
        <v>-344</v>
      </c>
      <c r="AJ233" s="161">
        <v>2142</v>
      </c>
      <c r="AK233" s="161">
        <v>113</v>
      </c>
      <c r="AL233" s="150"/>
      <c r="AM233" s="161">
        <v>-162</v>
      </c>
      <c r="AN233" s="161">
        <v>-289</v>
      </c>
      <c r="AO233" s="160">
        <v>-314</v>
      </c>
      <c r="AQ233" s="160"/>
      <c r="AR233" s="117"/>
      <c r="AS233" s="117"/>
      <c r="AT233" s="99">
        <v>21.75</v>
      </c>
      <c r="AU233" s="130"/>
      <c r="AV233" s="262">
        <v>256</v>
      </c>
      <c r="AW233" s="267">
        <v>1005</v>
      </c>
      <c r="AX233" s="124"/>
      <c r="AY233" s="255">
        <v>1.0625</v>
      </c>
      <c r="AZ233" s="259">
        <v>27.494176372712147</v>
      </c>
      <c r="BA233" s="160">
        <v>-1180.0995024875622</v>
      </c>
      <c r="BB233" s="130"/>
      <c r="BC233" s="130"/>
      <c r="BD233" s="130"/>
      <c r="BE233" s="128">
        <v>50.961432809581368</v>
      </c>
      <c r="BF233" s="160">
        <v>2097.5124378109454</v>
      </c>
      <c r="BG233" s="129">
        <v>47.965881818771486</v>
      </c>
      <c r="BH233" s="131">
        <v>15340.298507462687</v>
      </c>
      <c r="BI233" s="124"/>
      <c r="BJ233" s="117">
        <v>6080</v>
      </c>
      <c r="BK233" s="117">
        <v>14760</v>
      </c>
      <c r="BL233" s="161">
        <v>0</v>
      </c>
      <c r="BM233" s="161">
        <v>-8680</v>
      </c>
      <c r="BN233" s="117">
        <v>4378</v>
      </c>
      <c r="BO233" s="117">
        <v>4567</v>
      </c>
      <c r="BP233" s="136"/>
      <c r="BR233" s="160">
        <v>-15</v>
      </c>
      <c r="BS233" s="160">
        <v>24</v>
      </c>
      <c r="BT233" s="161">
        <v>274</v>
      </c>
      <c r="BU233" s="125">
        <v>446</v>
      </c>
      <c r="BV233" s="160">
        <v>0</v>
      </c>
      <c r="BX233" s="161">
        <v>-172</v>
      </c>
      <c r="BY233" s="160">
        <v>0</v>
      </c>
      <c r="BZ233" s="160">
        <v>22</v>
      </c>
      <c r="CA233" s="160">
        <v>0</v>
      </c>
      <c r="CB233" s="160">
        <v>0</v>
      </c>
      <c r="CC233" s="160">
        <v>-150</v>
      </c>
      <c r="CD233" s="160">
        <v>1808</v>
      </c>
      <c r="CE233" s="116">
        <v>272</v>
      </c>
      <c r="CF233" s="150"/>
      <c r="CG233" s="161">
        <v>175</v>
      </c>
      <c r="CH233" s="160">
        <v>-257</v>
      </c>
      <c r="CI233" s="159">
        <v>-94</v>
      </c>
      <c r="CK233" s="124"/>
      <c r="CL233" s="161"/>
      <c r="CM233" s="124"/>
      <c r="CN233" s="265">
        <v>21.75</v>
      </c>
      <c r="CO233" s="130"/>
      <c r="CP233" s="116">
        <v>219</v>
      </c>
      <c r="CQ233" s="267">
        <v>1009</v>
      </c>
      <c r="CR233" s="124"/>
      <c r="CS233" s="268">
        <v>1.7847222222222223</v>
      </c>
      <c r="CT233" s="269">
        <v>34.3848167539267</v>
      </c>
      <c r="CU233" s="160">
        <v>-1706.6402378592666</v>
      </c>
      <c r="CV233" s="130"/>
      <c r="CW233" s="130"/>
      <c r="CX233" s="130"/>
      <c r="CY233" s="269">
        <v>42.36974617202754</v>
      </c>
      <c r="CZ233" s="125">
        <v>2518.3349851337957</v>
      </c>
      <c r="DA233" s="125">
        <v>57.477999504214182</v>
      </c>
      <c r="DB233" s="273">
        <v>15992.071357779982</v>
      </c>
      <c r="DC233" s="124"/>
      <c r="DD233" s="117">
        <v>6100</v>
      </c>
      <c r="DE233" s="117">
        <v>14763</v>
      </c>
      <c r="DF233" s="117">
        <v>0</v>
      </c>
      <c r="DG233" s="117">
        <v>-8663</v>
      </c>
      <c r="DH233" s="117">
        <v>4204</v>
      </c>
      <c r="DI233" s="117">
        <v>4976</v>
      </c>
      <c r="DJ233" s="136"/>
      <c r="DL233" s="160">
        <v>-16</v>
      </c>
      <c r="DM233" s="160">
        <v>-3</v>
      </c>
      <c r="DN233" s="161">
        <v>498</v>
      </c>
      <c r="DO233" s="116">
        <v>960</v>
      </c>
      <c r="DP233" s="160">
        <v>-7</v>
      </c>
      <c r="DR233" s="161">
        <v>-469</v>
      </c>
      <c r="DS233" s="116">
        <v>0</v>
      </c>
      <c r="DT233" s="116">
        <v>4</v>
      </c>
      <c r="DU233" s="116">
        <v>0</v>
      </c>
      <c r="DV233" s="116">
        <v>0</v>
      </c>
      <c r="DW233" s="160">
        <v>-465</v>
      </c>
      <c r="DX233" s="160">
        <v>1294</v>
      </c>
      <c r="DY233" s="116">
        <v>457</v>
      </c>
      <c r="DZ233" s="150"/>
      <c r="EA233" s="117">
        <v>-139</v>
      </c>
      <c r="EB233" s="116">
        <v>-272</v>
      </c>
      <c r="EC233" s="159">
        <v>-556</v>
      </c>
      <c r="EE233" s="125"/>
      <c r="EF233" s="161"/>
      <c r="EG233" s="124"/>
      <c r="EH233" s="253">
        <v>21.75</v>
      </c>
      <c r="EI233" s="130"/>
      <c r="EJ233" s="125">
        <v>283</v>
      </c>
      <c r="EK233" s="116"/>
      <c r="EL233" s="159"/>
      <c r="EN233" s="116"/>
      <c r="EO233" s="116"/>
      <c r="EP233" s="159"/>
      <c r="EQ233" s="159">
        <v>-768</v>
      </c>
      <c r="ER233" s="116">
        <v>111</v>
      </c>
      <c r="ES233" s="116">
        <v>230</v>
      </c>
      <c r="ET233" s="160">
        <v>-380</v>
      </c>
      <c r="EU233" s="116">
        <v>10</v>
      </c>
      <c r="EV233" s="116">
        <v>4</v>
      </c>
      <c r="EW233" s="160">
        <v>-1072</v>
      </c>
      <c r="EX233" s="160">
        <v>32</v>
      </c>
      <c r="EY233" s="160">
        <v>27</v>
      </c>
      <c r="EZ233" s="116">
        <v>-6</v>
      </c>
      <c r="FA233" s="116">
        <v>98</v>
      </c>
      <c r="FB233" s="116">
        <v>179</v>
      </c>
      <c r="FC233" s="160">
        <v>-4</v>
      </c>
      <c r="FD233" s="116">
        <v>648</v>
      </c>
      <c r="FE233" s="116">
        <v>-2</v>
      </c>
      <c r="FF233" s="3">
        <v>2127</v>
      </c>
      <c r="FG233" s="3">
        <v>1864</v>
      </c>
      <c r="FH233" s="3">
        <v>263</v>
      </c>
      <c r="FI233" s="3">
        <v>91</v>
      </c>
      <c r="FJ233" s="125">
        <v>2045</v>
      </c>
      <c r="FK233" s="160">
        <v>1786</v>
      </c>
      <c r="FL233" s="125">
        <v>259</v>
      </c>
      <c r="FM233" s="116">
        <v>91</v>
      </c>
      <c r="FN233" s="125">
        <v>2420</v>
      </c>
      <c r="FO233" s="116">
        <v>2144</v>
      </c>
      <c r="FP233" s="116">
        <v>276</v>
      </c>
      <c r="FQ233" s="116">
        <v>-139</v>
      </c>
      <c r="FR233" s="153">
        <v>458</v>
      </c>
      <c r="FS233" s="153">
        <v>415</v>
      </c>
      <c r="FT233" s="276">
        <v>375</v>
      </c>
      <c r="FU233" s="3">
        <v>27739</v>
      </c>
      <c r="FV233" s="159">
        <v>150</v>
      </c>
      <c r="FW233" s="170"/>
      <c r="FZ233" s="155"/>
      <c r="GA233" s="2"/>
      <c r="GD233" s="163"/>
      <c r="GE233" s="2"/>
      <c r="GF233" s="2"/>
    </row>
    <row r="234" spans="1:188" ht="14.5" x14ac:dyDescent="0.35">
      <c r="A234" s="72">
        <v>743</v>
      </c>
      <c r="B234" s="70" t="s">
        <v>224</v>
      </c>
      <c r="C234" s="158">
        <v>63288</v>
      </c>
      <c r="D234" s="171"/>
      <c r="E234" s="128">
        <v>0.87124266862170086</v>
      </c>
      <c r="F234" s="128">
        <v>113.71840762629182</v>
      </c>
      <c r="G234" s="129">
        <v>-9836.8253065352037</v>
      </c>
      <c r="H234" s="216"/>
      <c r="I234" s="172"/>
      <c r="J234" s="218"/>
      <c r="K234" s="128">
        <v>32.207104004830164</v>
      </c>
      <c r="L234" s="129">
        <v>1007.5053722664644</v>
      </c>
      <c r="M234" s="129">
        <v>30.469908446896451</v>
      </c>
      <c r="N234" s="129">
        <v>12068.938819365441</v>
      </c>
      <c r="O234" s="129"/>
      <c r="P234" s="117">
        <v>253812</v>
      </c>
      <c r="Q234" s="161">
        <v>591639</v>
      </c>
      <c r="R234" s="161">
        <v>2327</v>
      </c>
      <c r="S234" s="161">
        <v>-335500</v>
      </c>
      <c r="T234" s="124">
        <v>247554</v>
      </c>
      <c r="U234" s="124">
        <v>142302</v>
      </c>
      <c r="V234" s="136"/>
      <c r="X234" s="116">
        <v>-3685</v>
      </c>
      <c r="Y234" s="116">
        <v>1574</v>
      </c>
      <c r="Z234" s="161">
        <v>52245</v>
      </c>
      <c r="AA234" s="116">
        <v>51766</v>
      </c>
      <c r="AB234" s="117">
        <v>0</v>
      </c>
      <c r="AD234" s="161">
        <v>479</v>
      </c>
      <c r="AE234" s="117">
        <v>-223</v>
      </c>
      <c r="AF234" s="117">
        <v>56</v>
      </c>
      <c r="AG234" s="116">
        <v>-979</v>
      </c>
      <c r="AH234" s="116">
        <v>-726</v>
      </c>
      <c r="AI234" s="160">
        <v>-1393</v>
      </c>
      <c r="AJ234" s="161">
        <v>112563</v>
      </c>
      <c r="AK234" s="161">
        <v>40194</v>
      </c>
      <c r="AL234" s="150"/>
      <c r="AM234" s="161">
        <v>-70</v>
      </c>
      <c r="AN234" s="161">
        <v>-60675</v>
      </c>
      <c r="AO234" s="160">
        <v>-54596</v>
      </c>
      <c r="AQ234" s="160"/>
      <c r="AR234" s="117"/>
      <c r="AS234" s="117"/>
      <c r="AT234" s="99">
        <v>21</v>
      </c>
      <c r="AU234" s="130"/>
      <c r="AV234" s="262">
        <v>45</v>
      </c>
      <c r="AW234" s="267">
        <v>63781</v>
      </c>
      <c r="AX234" s="124"/>
      <c r="AY234" s="255">
        <v>0.73550393590104024</v>
      </c>
      <c r="AZ234" s="259">
        <v>120.93688574938575</v>
      </c>
      <c r="BA234" s="160">
        <v>-10532.509681566611</v>
      </c>
      <c r="BB234" s="130"/>
      <c r="BC234" s="130"/>
      <c r="BD234" s="130"/>
      <c r="BE234" s="128">
        <v>30.899154409238793</v>
      </c>
      <c r="BF234" s="160">
        <v>1175.773349430081</v>
      </c>
      <c r="BG234" s="129">
        <v>30.715094521185375</v>
      </c>
      <c r="BH234" s="131">
        <v>11894.028002069583</v>
      </c>
      <c r="BI234" s="124"/>
      <c r="BJ234" s="117">
        <v>249485</v>
      </c>
      <c r="BK234" s="117">
        <v>612583</v>
      </c>
      <c r="BL234" s="161">
        <v>-369</v>
      </c>
      <c r="BM234" s="161">
        <v>-363467</v>
      </c>
      <c r="BN234" s="117">
        <v>257100</v>
      </c>
      <c r="BO234" s="117">
        <v>144615</v>
      </c>
      <c r="BP234" s="136"/>
      <c r="BR234" s="160">
        <v>-3186</v>
      </c>
      <c r="BS234" s="160">
        <v>1714</v>
      </c>
      <c r="BT234" s="161">
        <v>36776</v>
      </c>
      <c r="BU234" s="125">
        <v>56428</v>
      </c>
      <c r="BV234" s="161">
        <v>0</v>
      </c>
      <c r="BW234" s="117"/>
      <c r="BX234" s="161">
        <v>-19652</v>
      </c>
      <c r="BY234" s="161">
        <v>-141</v>
      </c>
      <c r="BZ234" s="160">
        <v>15</v>
      </c>
      <c r="CA234" s="160">
        <v>1286</v>
      </c>
      <c r="CB234" s="160">
        <v>-521</v>
      </c>
      <c r="CC234" s="160">
        <v>-21585</v>
      </c>
      <c r="CD234" s="160">
        <v>93130</v>
      </c>
      <c r="CE234" s="116">
        <v>31443</v>
      </c>
      <c r="CF234" s="150"/>
      <c r="CG234" s="160">
        <v>4868</v>
      </c>
      <c r="CH234" s="160">
        <v>-51829</v>
      </c>
      <c r="CI234" s="159">
        <v>-46878</v>
      </c>
      <c r="CK234" s="124"/>
      <c r="CL234" s="161"/>
      <c r="CM234" s="124"/>
      <c r="CN234" s="265">
        <v>21</v>
      </c>
      <c r="CO234" s="130"/>
      <c r="CP234" s="116">
        <v>98</v>
      </c>
      <c r="CQ234" s="267">
        <v>64130</v>
      </c>
      <c r="CR234" s="124"/>
      <c r="CS234" s="268">
        <v>0.87099631280506007</v>
      </c>
      <c r="CT234" s="269">
        <v>112.20862177560605</v>
      </c>
      <c r="CU234" s="160">
        <v>-10449.056603773584</v>
      </c>
      <c r="CV234" s="130"/>
      <c r="CW234" s="130"/>
      <c r="CX234" s="130"/>
      <c r="CY234" s="269">
        <v>32.43525018644953</v>
      </c>
      <c r="CZ234" s="125">
        <v>1085.0771869639796</v>
      </c>
      <c r="DA234" s="125">
        <v>32.007513272986877</v>
      </c>
      <c r="DB234" s="273">
        <v>12373.756432246997</v>
      </c>
      <c r="DC234" s="124"/>
      <c r="DD234" s="117">
        <v>251651</v>
      </c>
      <c r="DE234" s="117">
        <v>607024</v>
      </c>
      <c r="DF234" s="117">
        <v>-284</v>
      </c>
      <c r="DG234" s="117">
        <v>-355657</v>
      </c>
      <c r="DH234" s="117">
        <v>266583</v>
      </c>
      <c r="DI234" s="117">
        <v>177168</v>
      </c>
      <c r="DJ234" s="136"/>
      <c r="DL234" s="160">
        <v>-4556</v>
      </c>
      <c r="DM234" s="160">
        <v>2096</v>
      </c>
      <c r="DN234" s="161">
        <v>85634</v>
      </c>
      <c r="DO234" s="116">
        <v>60884</v>
      </c>
      <c r="DP234" s="161">
        <v>0</v>
      </c>
      <c r="DQ234" s="117"/>
      <c r="DR234" s="161">
        <v>24750</v>
      </c>
      <c r="DS234" s="117">
        <v>-236</v>
      </c>
      <c r="DT234" s="116">
        <v>4</v>
      </c>
      <c r="DU234" s="116">
        <v>1916</v>
      </c>
      <c r="DV234" s="116">
        <v>-327</v>
      </c>
      <c r="DW234" s="160">
        <v>22275</v>
      </c>
      <c r="DX234" s="160">
        <v>115678</v>
      </c>
      <c r="DY234" s="116">
        <v>76267</v>
      </c>
      <c r="DZ234" s="150"/>
      <c r="EA234" s="116">
        <v>174</v>
      </c>
      <c r="EB234" s="116">
        <v>-99034</v>
      </c>
      <c r="EC234" s="159">
        <v>4503</v>
      </c>
      <c r="EE234" s="125"/>
      <c r="EF234" s="161"/>
      <c r="EG234" s="124"/>
      <c r="EH234" s="253">
        <v>21</v>
      </c>
      <c r="EI234" s="130"/>
      <c r="EJ234" s="125">
        <v>45</v>
      </c>
      <c r="EK234" s="116"/>
      <c r="EL234" s="159"/>
      <c r="EN234" s="116"/>
      <c r="EO234" s="116"/>
      <c r="EP234" s="159"/>
      <c r="EQ234" s="159">
        <v>-105907</v>
      </c>
      <c r="ER234" s="116">
        <v>645</v>
      </c>
      <c r="ES234" s="116">
        <v>10472</v>
      </c>
      <c r="ET234" s="160">
        <v>-88270</v>
      </c>
      <c r="EU234" s="116">
        <v>462</v>
      </c>
      <c r="EV234" s="116">
        <v>9487</v>
      </c>
      <c r="EW234" s="160">
        <v>-82073</v>
      </c>
      <c r="EX234" s="160">
        <v>1084</v>
      </c>
      <c r="EY234" s="160">
        <v>9225</v>
      </c>
      <c r="EZ234" s="116">
        <v>83170</v>
      </c>
      <c r="FA234" s="116">
        <v>21631</v>
      </c>
      <c r="FB234" s="116">
        <v>58629</v>
      </c>
      <c r="FC234" s="160">
        <v>43785</v>
      </c>
      <c r="FD234" s="116">
        <v>105711</v>
      </c>
      <c r="FE234" s="116">
        <v>-16455</v>
      </c>
      <c r="FF234" s="3">
        <v>582564</v>
      </c>
      <c r="FG234" s="3">
        <v>460287</v>
      </c>
      <c r="FH234" s="3">
        <v>122277</v>
      </c>
      <c r="FI234" s="3">
        <v>274</v>
      </c>
      <c r="FJ234" s="125">
        <v>597639</v>
      </c>
      <c r="FK234" s="160">
        <v>398595</v>
      </c>
      <c r="FL234" s="125">
        <v>199044</v>
      </c>
      <c r="FM234" s="116">
        <v>231</v>
      </c>
      <c r="FN234" s="125">
        <v>623372</v>
      </c>
      <c r="FO234" s="116">
        <v>473646</v>
      </c>
      <c r="FP234" s="116">
        <v>149726</v>
      </c>
      <c r="FQ234" s="116">
        <v>174</v>
      </c>
      <c r="FR234" s="153">
        <v>33767</v>
      </c>
      <c r="FS234" s="153">
        <v>27374</v>
      </c>
      <c r="FT234" s="276">
        <v>25493</v>
      </c>
      <c r="FU234" s="3">
        <v>10070</v>
      </c>
      <c r="FV234" s="159">
        <v>14434</v>
      </c>
      <c r="FW234" s="170"/>
      <c r="FZ234" s="155"/>
      <c r="GA234" s="2"/>
      <c r="GD234" s="163"/>
      <c r="GE234" s="2"/>
      <c r="GF234" s="2"/>
    </row>
    <row r="235" spans="1:188" ht="14.5" x14ac:dyDescent="0.35">
      <c r="A235" s="72">
        <v>746</v>
      </c>
      <c r="B235" s="70" t="s">
        <v>225</v>
      </c>
      <c r="C235" s="158">
        <v>4980</v>
      </c>
      <c r="D235" s="171"/>
      <c r="E235" s="128">
        <v>2.2321734169994296</v>
      </c>
      <c r="F235" s="128">
        <v>68.876976440380204</v>
      </c>
      <c r="G235" s="129">
        <v>-5840.1606425702812</v>
      </c>
      <c r="H235" s="216"/>
      <c r="I235" s="172"/>
      <c r="J235" s="218"/>
      <c r="K235" s="128">
        <v>27.141499892733457</v>
      </c>
      <c r="L235" s="129">
        <v>2400</v>
      </c>
      <c r="M235" s="129">
        <v>60.319400467347869</v>
      </c>
      <c r="N235" s="129">
        <v>14522.690763052209</v>
      </c>
      <c r="O235" s="129"/>
      <c r="P235" s="117">
        <v>31698</v>
      </c>
      <c r="Q235" s="161">
        <v>62900</v>
      </c>
      <c r="R235" s="161">
        <v>122</v>
      </c>
      <c r="S235" s="161">
        <v>-31080</v>
      </c>
      <c r="T235" s="124">
        <v>15215</v>
      </c>
      <c r="U235" s="124">
        <v>19684</v>
      </c>
      <c r="V235" s="136"/>
      <c r="X235" s="116">
        <v>-302</v>
      </c>
      <c r="Y235" s="116">
        <v>57</v>
      </c>
      <c r="Z235" s="161">
        <v>3574</v>
      </c>
      <c r="AA235" s="116">
        <v>2354</v>
      </c>
      <c r="AB235" s="116">
        <v>109</v>
      </c>
      <c r="AD235" s="161">
        <v>1329</v>
      </c>
      <c r="AE235" s="117">
        <v>-22</v>
      </c>
      <c r="AF235" s="117">
        <v>3</v>
      </c>
      <c r="AG235" s="116">
        <v>-5</v>
      </c>
      <c r="AH235" s="116">
        <v>-1</v>
      </c>
      <c r="AI235" s="160">
        <v>1304</v>
      </c>
      <c r="AJ235" s="161">
        <v>4969</v>
      </c>
      <c r="AK235" s="161">
        <v>3029</v>
      </c>
      <c r="AL235" s="150"/>
      <c r="AM235" s="161">
        <v>-407</v>
      </c>
      <c r="AN235" s="161">
        <v>-1414</v>
      </c>
      <c r="AO235" s="160">
        <v>-2038</v>
      </c>
      <c r="AQ235" s="160"/>
      <c r="AR235" s="117"/>
      <c r="AS235" s="117"/>
      <c r="AT235" s="99">
        <v>21.75</v>
      </c>
      <c r="AU235" s="130"/>
      <c r="AV235" s="262">
        <v>73</v>
      </c>
      <c r="AW235" s="267">
        <v>4910</v>
      </c>
      <c r="AX235" s="124"/>
      <c r="AY235" s="255">
        <v>1.1029866117404736</v>
      </c>
      <c r="AZ235" s="259">
        <v>69.505795855444546</v>
      </c>
      <c r="BA235" s="160">
        <v>-6486.7617107942979</v>
      </c>
      <c r="BB235" s="130"/>
      <c r="BC235" s="130"/>
      <c r="BD235" s="130"/>
      <c r="BE235" s="128">
        <v>26.451270383010996</v>
      </c>
      <c r="BF235" s="160">
        <v>2243.177189409369</v>
      </c>
      <c r="BG235" s="129">
        <v>59.674888505841473</v>
      </c>
      <c r="BH235" s="131">
        <v>14887.576374745418</v>
      </c>
      <c r="BI235" s="124"/>
      <c r="BJ235" s="117">
        <v>32713</v>
      </c>
      <c r="BK235" s="117">
        <v>65525</v>
      </c>
      <c r="BL235" s="161">
        <v>123</v>
      </c>
      <c r="BM235" s="161">
        <v>-32689</v>
      </c>
      <c r="BN235" s="117">
        <v>15360</v>
      </c>
      <c r="BO235" s="117">
        <v>19389</v>
      </c>
      <c r="BP235" s="136"/>
      <c r="BR235" s="160">
        <v>-83</v>
      </c>
      <c r="BS235" s="160">
        <v>7</v>
      </c>
      <c r="BT235" s="161">
        <v>1984</v>
      </c>
      <c r="BU235" s="125">
        <v>2463</v>
      </c>
      <c r="BV235" s="160">
        <v>1</v>
      </c>
      <c r="BW235" s="117"/>
      <c r="BX235" s="161">
        <v>-478</v>
      </c>
      <c r="BY235" s="161">
        <v>-22</v>
      </c>
      <c r="BZ235" s="160">
        <v>7</v>
      </c>
      <c r="CA235" s="160">
        <v>7</v>
      </c>
      <c r="CB235" s="160">
        <v>0</v>
      </c>
      <c r="CC235" s="160">
        <v>-500</v>
      </c>
      <c r="CD235" s="160">
        <v>4437</v>
      </c>
      <c r="CE235" s="116">
        <v>2000</v>
      </c>
      <c r="CF235" s="150"/>
      <c r="CG235" s="160">
        <v>809</v>
      </c>
      <c r="CH235" s="160">
        <v>-1784</v>
      </c>
      <c r="CI235" s="159">
        <v>-2836</v>
      </c>
      <c r="CK235" s="124"/>
      <c r="CL235" s="161"/>
      <c r="CM235" s="124"/>
      <c r="CN235" s="265">
        <v>21.75</v>
      </c>
      <c r="CO235" s="130"/>
      <c r="CP235" s="116">
        <v>159</v>
      </c>
      <c r="CQ235" s="267">
        <v>4834</v>
      </c>
      <c r="CR235" s="124"/>
      <c r="CS235" s="268">
        <v>3.6247924737133372</v>
      </c>
      <c r="CT235" s="269">
        <v>63.231268163248117</v>
      </c>
      <c r="CU235" s="160">
        <v>-5729.6235002068679</v>
      </c>
      <c r="CV235" s="130"/>
      <c r="CW235" s="130"/>
      <c r="CX235" s="130"/>
      <c r="CY235" s="269">
        <v>31.067042986124452</v>
      </c>
      <c r="CZ235" s="125">
        <v>2844.2283822920976</v>
      </c>
      <c r="DA235" s="125">
        <v>72.257922852082771</v>
      </c>
      <c r="DB235" s="273">
        <v>14367.190732312783</v>
      </c>
      <c r="DC235" s="124"/>
      <c r="DD235" s="117">
        <v>32722</v>
      </c>
      <c r="DE235" s="117">
        <v>64902</v>
      </c>
      <c r="DF235" s="117">
        <v>123</v>
      </c>
      <c r="DG235" s="117">
        <v>-32057</v>
      </c>
      <c r="DH235" s="117">
        <v>16012</v>
      </c>
      <c r="DI235" s="117">
        <v>22495</v>
      </c>
      <c r="DJ235" s="136"/>
      <c r="DL235" s="160">
        <v>-144</v>
      </c>
      <c r="DM235" s="160">
        <v>85</v>
      </c>
      <c r="DN235" s="161">
        <v>6391</v>
      </c>
      <c r="DO235" s="116">
        <v>2747</v>
      </c>
      <c r="DP235" s="160">
        <v>0</v>
      </c>
      <c r="DQ235" s="117"/>
      <c r="DR235" s="161">
        <v>3644</v>
      </c>
      <c r="DS235" s="117">
        <v>-22</v>
      </c>
      <c r="DT235" s="116">
        <v>-9</v>
      </c>
      <c r="DU235" s="116">
        <v>10</v>
      </c>
      <c r="DV235" s="116">
        <v>-1</v>
      </c>
      <c r="DW235" s="160">
        <v>3602</v>
      </c>
      <c r="DX235" s="160">
        <v>8030</v>
      </c>
      <c r="DY235" s="116">
        <v>6369</v>
      </c>
      <c r="DZ235" s="150"/>
      <c r="EA235" s="116">
        <v>433</v>
      </c>
      <c r="EB235" s="116">
        <v>-1648</v>
      </c>
      <c r="EC235" s="159">
        <v>3955</v>
      </c>
      <c r="EE235" s="125"/>
      <c r="EF235" s="161"/>
      <c r="EG235" s="124"/>
      <c r="EH235" s="253">
        <v>21.75</v>
      </c>
      <c r="EI235" s="130"/>
      <c r="EJ235" s="125">
        <v>47</v>
      </c>
      <c r="EK235" s="116"/>
      <c r="EL235" s="159"/>
      <c r="EN235" s="116"/>
      <c r="EO235" s="116"/>
      <c r="EP235" s="159"/>
      <c r="EQ235" s="159">
        <v>-7502</v>
      </c>
      <c r="ER235" s="116">
        <v>1507</v>
      </c>
      <c r="ES235" s="116">
        <v>928</v>
      </c>
      <c r="ET235" s="160">
        <v>-5245</v>
      </c>
      <c r="EU235" s="116">
        <v>251</v>
      </c>
      <c r="EV235" s="116">
        <v>158</v>
      </c>
      <c r="EW235" s="160">
        <v>-2733</v>
      </c>
      <c r="EX235" s="160">
        <v>120</v>
      </c>
      <c r="EY235" s="160">
        <v>199</v>
      </c>
      <c r="EZ235" s="116">
        <v>1637</v>
      </c>
      <c r="FA235" s="116">
        <v>2892</v>
      </c>
      <c r="FB235" s="116">
        <v>1512</v>
      </c>
      <c r="FC235" s="160">
        <v>845</v>
      </c>
      <c r="FD235" s="116">
        <v>6951</v>
      </c>
      <c r="FE235" s="116">
        <v>-6144</v>
      </c>
      <c r="FF235" s="3">
        <v>34049</v>
      </c>
      <c r="FG235" s="3">
        <v>16660</v>
      </c>
      <c r="FH235" s="3">
        <v>17389</v>
      </c>
      <c r="FI235" s="3">
        <v>1310</v>
      </c>
      <c r="FJ235" s="125">
        <v>34618</v>
      </c>
      <c r="FK235" s="160">
        <v>16302</v>
      </c>
      <c r="FL235" s="125">
        <v>18316</v>
      </c>
      <c r="FM235" s="116">
        <v>1141</v>
      </c>
      <c r="FN235" s="125">
        <v>33778</v>
      </c>
      <c r="FO235" s="116">
        <v>19925</v>
      </c>
      <c r="FP235" s="116">
        <v>13853</v>
      </c>
      <c r="FQ235" s="116">
        <v>433</v>
      </c>
      <c r="FR235" s="153">
        <v>4373</v>
      </c>
      <c r="FS235" s="153">
        <v>4465</v>
      </c>
      <c r="FT235" s="276">
        <v>4176</v>
      </c>
      <c r="FU235" s="3">
        <v>6555</v>
      </c>
      <c r="FV235" s="159">
        <v>6600</v>
      </c>
      <c r="FW235" s="170"/>
      <c r="FZ235" s="155"/>
      <c r="GA235" s="2"/>
      <c r="GD235" s="163"/>
      <c r="GE235" s="2"/>
      <c r="GF235" s="2"/>
    </row>
    <row r="236" spans="1:188" ht="14.5" x14ac:dyDescent="0.35">
      <c r="A236" s="72">
        <v>747</v>
      </c>
      <c r="B236" s="70" t="s">
        <v>226</v>
      </c>
      <c r="C236" s="158">
        <v>1458</v>
      </c>
      <c r="D236" s="171"/>
      <c r="E236" s="128">
        <v>6.6092715231788075</v>
      </c>
      <c r="F236" s="128">
        <v>26.47726045155018</v>
      </c>
      <c r="G236" s="129">
        <v>-588.47736625514403</v>
      </c>
      <c r="H236" s="216"/>
      <c r="I236" s="172"/>
      <c r="J236" s="218"/>
      <c r="K236" s="128">
        <v>64.655898876404493</v>
      </c>
      <c r="L236" s="129">
        <v>1663.9231824417009</v>
      </c>
      <c r="M236" s="129">
        <v>48.326693227091631</v>
      </c>
      <c r="N236" s="129">
        <v>12567.215363511659</v>
      </c>
      <c r="O236" s="129"/>
      <c r="P236" s="117">
        <v>9018</v>
      </c>
      <c r="Q236" s="161">
        <v>17531</v>
      </c>
      <c r="R236" s="161">
        <v>0</v>
      </c>
      <c r="S236" s="161">
        <v>-8513</v>
      </c>
      <c r="T236" s="124">
        <v>4650</v>
      </c>
      <c r="U236" s="124">
        <v>4846</v>
      </c>
      <c r="V236" s="136"/>
      <c r="X236" s="116">
        <v>-17</v>
      </c>
      <c r="Y236" s="116">
        <v>15</v>
      </c>
      <c r="Z236" s="161">
        <v>981</v>
      </c>
      <c r="AA236" s="116">
        <v>615</v>
      </c>
      <c r="AB236" s="117">
        <v>0</v>
      </c>
      <c r="AD236" s="161">
        <v>366</v>
      </c>
      <c r="AE236" s="116">
        <v>0</v>
      </c>
      <c r="AF236" s="116">
        <v>0</v>
      </c>
      <c r="AG236" s="116">
        <v>0</v>
      </c>
      <c r="AH236" s="117">
        <v>0</v>
      </c>
      <c r="AI236" s="160">
        <v>366</v>
      </c>
      <c r="AJ236" s="161">
        <v>2215</v>
      </c>
      <c r="AK236" s="161">
        <v>984</v>
      </c>
      <c r="AL236" s="150"/>
      <c r="AM236" s="161">
        <v>-318</v>
      </c>
      <c r="AN236" s="161">
        <v>-134</v>
      </c>
      <c r="AO236" s="160">
        <v>406</v>
      </c>
      <c r="AQ236" s="160"/>
      <c r="AR236" s="117"/>
      <c r="AS236" s="117"/>
      <c r="AT236" s="99">
        <v>21</v>
      </c>
      <c r="AU236" s="130"/>
      <c r="AV236" s="262">
        <v>82</v>
      </c>
      <c r="AW236" s="267">
        <v>1437</v>
      </c>
      <c r="AX236" s="124"/>
      <c r="AY236" s="255">
        <v>11.51006711409396</v>
      </c>
      <c r="AZ236" s="259">
        <v>25.142947903430748</v>
      </c>
      <c r="BA236" s="160">
        <v>365.34446764091859</v>
      </c>
      <c r="BB236" s="130"/>
      <c r="BC236" s="130"/>
      <c r="BD236" s="130"/>
      <c r="BE236" s="128">
        <v>67.550062785010908</v>
      </c>
      <c r="BF236" s="160">
        <v>2768.2672233820458</v>
      </c>
      <c r="BG236" s="129">
        <v>50.106948845631507</v>
      </c>
      <c r="BH236" s="131">
        <v>12297.842727905358</v>
      </c>
      <c r="BI236" s="124"/>
      <c r="BJ236" s="117">
        <v>8754</v>
      </c>
      <c r="BK236" s="117">
        <v>17184</v>
      </c>
      <c r="BL236" s="161">
        <v>0</v>
      </c>
      <c r="BM236" s="161">
        <v>-8430</v>
      </c>
      <c r="BN236" s="117">
        <v>4785</v>
      </c>
      <c r="BO236" s="117">
        <v>5349</v>
      </c>
      <c r="BP236" s="136"/>
      <c r="BR236" s="160">
        <v>-16</v>
      </c>
      <c r="BS236" s="160">
        <v>11</v>
      </c>
      <c r="BT236" s="161">
        <v>1699</v>
      </c>
      <c r="BU236" s="125">
        <v>669</v>
      </c>
      <c r="BV236" s="161">
        <v>0</v>
      </c>
      <c r="BW236" s="117"/>
      <c r="BX236" s="161">
        <v>1030</v>
      </c>
      <c r="BY236" s="160">
        <v>0</v>
      </c>
      <c r="BZ236" s="161">
        <v>-16</v>
      </c>
      <c r="CA236" s="161">
        <v>0</v>
      </c>
      <c r="CB236" s="161">
        <v>0</v>
      </c>
      <c r="CC236" s="160">
        <v>1014</v>
      </c>
      <c r="CD236" s="160">
        <v>3228</v>
      </c>
      <c r="CE236" s="116">
        <v>1722</v>
      </c>
      <c r="CF236" s="150"/>
      <c r="CG236" s="161">
        <v>324</v>
      </c>
      <c r="CH236" s="160">
        <v>-133</v>
      </c>
      <c r="CI236" s="159">
        <v>1389</v>
      </c>
      <c r="CK236" s="124"/>
      <c r="CL236" s="161"/>
      <c r="CM236" s="124"/>
      <c r="CN236" s="265">
        <v>22</v>
      </c>
      <c r="CO236" s="130"/>
      <c r="CP236" s="116">
        <v>10</v>
      </c>
      <c r="CQ236" s="267">
        <v>1385</v>
      </c>
      <c r="CR236" s="124"/>
      <c r="CS236" s="268">
        <v>13.959349593495935</v>
      </c>
      <c r="CT236" s="269">
        <v>24.176612200993699</v>
      </c>
      <c r="CU236" s="160">
        <v>1232.4909747292418</v>
      </c>
      <c r="CV236" s="130"/>
      <c r="CW236" s="130"/>
      <c r="CX236" s="130"/>
      <c r="CY236" s="269">
        <v>69.917334825035738</v>
      </c>
      <c r="CZ236" s="125">
        <v>3644.7653429602888</v>
      </c>
      <c r="DA236" s="125">
        <v>99.482749311592258</v>
      </c>
      <c r="DB236" s="273">
        <v>13372.563176895306</v>
      </c>
      <c r="DC236" s="124"/>
      <c r="DD236" s="117">
        <v>8817</v>
      </c>
      <c r="DE236" s="117">
        <v>17815</v>
      </c>
      <c r="DF236" s="117">
        <v>0</v>
      </c>
      <c r="DG236" s="117">
        <v>-8998</v>
      </c>
      <c r="DH236" s="117">
        <v>4814</v>
      </c>
      <c r="DI236" s="117">
        <v>5892</v>
      </c>
      <c r="DJ236" s="136"/>
      <c r="DL236" s="160">
        <v>-14</v>
      </c>
      <c r="DM236" s="160">
        <v>9</v>
      </c>
      <c r="DN236" s="161">
        <v>1703</v>
      </c>
      <c r="DO236" s="116">
        <v>690</v>
      </c>
      <c r="DP236" s="161">
        <v>0</v>
      </c>
      <c r="DQ236" s="117"/>
      <c r="DR236" s="161">
        <v>1013</v>
      </c>
      <c r="DS236" s="116">
        <v>0</v>
      </c>
      <c r="DT236" s="117">
        <v>0</v>
      </c>
      <c r="DU236" s="117">
        <v>0</v>
      </c>
      <c r="DV236" s="117">
        <v>0</v>
      </c>
      <c r="DW236" s="160">
        <v>1013</v>
      </c>
      <c r="DX236" s="160">
        <v>4257</v>
      </c>
      <c r="DY236" s="116">
        <v>1643</v>
      </c>
      <c r="DZ236" s="150"/>
      <c r="EA236" s="117">
        <v>-84</v>
      </c>
      <c r="EB236" s="116">
        <v>-109</v>
      </c>
      <c r="EC236" s="159">
        <v>1203</v>
      </c>
      <c r="EE236" s="125"/>
      <c r="EF236" s="161"/>
      <c r="EG236" s="124"/>
      <c r="EH236" s="253">
        <v>22</v>
      </c>
      <c r="EI236" s="130"/>
      <c r="EJ236" s="125">
        <v>66</v>
      </c>
      <c r="EK236" s="116"/>
      <c r="EL236" s="159"/>
      <c r="EN236" s="116"/>
      <c r="EO236" s="116"/>
      <c r="EP236" s="159"/>
      <c r="EQ236" s="159">
        <v>-636</v>
      </c>
      <c r="ER236" s="116">
        <v>38</v>
      </c>
      <c r="ES236" s="116">
        <v>20</v>
      </c>
      <c r="ET236" s="160">
        <v>-335</v>
      </c>
      <c r="EU236" s="116">
        <v>5</v>
      </c>
      <c r="EV236" s="116">
        <v>-3</v>
      </c>
      <c r="EW236" s="160">
        <v>-566</v>
      </c>
      <c r="EX236" s="160">
        <v>5</v>
      </c>
      <c r="EY236" s="160">
        <v>121</v>
      </c>
      <c r="EZ236" s="116">
        <v>134</v>
      </c>
      <c r="FA236" s="116">
        <v>0</v>
      </c>
      <c r="FB236" s="116">
        <v>82</v>
      </c>
      <c r="FC236" s="160">
        <v>0</v>
      </c>
      <c r="FD236" s="116">
        <v>54</v>
      </c>
      <c r="FE236" s="116">
        <v>-298</v>
      </c>
      <c r="FF236" s="3">
        <v>2404</v>
      </c>
      <c r="FG236" s="3">
        <v>2271</v>
      </c>
      <c r="FH236" s="3">
        <v>133</v>
      </c>
      <c r="FI236" s="3">
        <v>0</v>
      </c>
      <c r="FJ236" s="125">
        <v>2353</v>
      </c>
      <c r="FK236" s="160">
        <v>1946</v>
      </c>
      <c r="FL236" s="125">
        <v>407</v>
      </c>
      <c r="FM236" s="116">
        <v>0</v>
      </c>
      <c r="FN236" s="125">
        <v>2000</v>
      </c>
      <c r="FO236" s="116">
        <v>1837</v>
      </c>
      <c r="FP236" s="116">
        <v>163</v>
      </c>
      <c r="FQ236" s="116">
        <v>-84</v>
      </c>
      <c r="FR236" s="153">
        <v>866</v>
      </c>
      <c r="FS236" s="153">
        <v>757</v>
      </c>
      <c r="FT236" s="276">
        <v>577</v>
      </c>
      <c r="FU236" s="3">
        <v>10</v>
      </c>
      <c r="FV236" s="159">
        <v>16</v>
      </c>
      <c r="FW236" s="170"/>
      <c r="FZ236" s="155"/>
      <c r="GA236" s="2"/>
      <c r="GD236" s="163"/>
      <c r="GE236" s="2"/>
      <c r="GF236" s="2"/>
    </row>
    <row r="237" spans="1:188" ht="14.5" x14ac:dyDescent="0.35">
      <c r="A237" s="72">
        <v>748</v>
      </c>
      <c r="B237" s="70" t="s">
        <v>227</v>
      </c>
      <c r="C237" s="158">
        <v>5249</v>
      </c>
      <c r="D237" s="171"/>
      <c r="E237" s="128">
        <v>1.4230623818525521</v>
      </c>
      <c r="F237" s="128">
        <v>45.212549784605379</v>
      </c>
      <c r="G237" s="129">
        <v>-3633.072966279291</v>
      </c>
      <c r="H237" s="216"/>
      <c r="I237" s="172"/>
      <c r="J237" s="218"/>
      <c r="K237" s="128">
        <v>41.774250858699517</v>
      </c>
      <c r="L237" s="129">
        <v>1805.677271861307</v>
      </c>
      <c r="M237" s="129">
        <v>46.288585305805697</v>
      </c>
      <c r="N237" s="129">
        <v>14238.33111068775</v>
      </c>
      <c r="O237" s="129"/>
      <c r="P237" s="117">
        <v>38439</v>
      </c>
      <c r="Q237" s="161">
        <v>69984</v>
      </c>
      <c r="R237" s="161">
        <v>2</v>
      </c>
      <c r="S237" s="161">
        <v>-31543</v>
      </c>
      <c r="T237" s="124">
        <v>16261</v>
      </c>
      <c r="U237" s="124">
        <v>19118</v>
      </c>
      <c r="V237" s="136"/>
      <c r="X237" s="116">
        <v>-128</v>
      </c>
      <c r="Y237" s="116">
        <v>-99</v>
      </c>
      <c r="Z237" s="161">
        <v>3609</v>
      </c>
      <c r="AA237" s="116">
        <v>3509</v>
      </c>
      <c r="AB237" s="116">
        <v>301</v>
      </c>
      <c r="AD237" s="161">
        <v>401</v>
      </c>
      <c r="AE237" s="117">
        <v>-3</v>
      </c>
      <c r="AF237" s="117">
        <v>-8</v>
      </c>
      <c r="AG237" s="116">
        <v>-2</v>
      </c>
      <c r="AH237" s="116">
        <v>-2</v>
      </c>
      <c r="AI237" s="160">
        <v>386</v>
      </c>
      <c r="AJ237" s="161">
        <v>10895</v>
      </c>
      <c r="AK237" s="161">
        <v>4081</v>
      </c>
      <c r="AL237" s="150"/>
      <c r="AM237" s="161">
        <v>12</v>
      </c>
      <c r="AN237" s="161">
        <v>-2490</v>
      </c>
      <c r="AO237" s="160">
        <v>2282</v>
      </c>
      <c r="AQ237" s="160"/>
      <c r="AR237" s="117"/>
      <c r="AS237" s="117"/>
      <c r="AT237" s="99">
        <v>22</v>
      </c>
      <c r="AU237" s="130"/>
      <c r="AV237" s="262">
        <v>78</v>
      </c>
      <c r="AW237" s="267">
        <v>5145</v>
      </c>
      <c r="AX237" s="124"/>
      <c r="AY237" s="255">
        <v>1.484338747099768</v>
      </c>
      <c r="AZ237" s="259">
        <v>42.844360229485766</v>
      </c>
      <c r="BA237" s="160">
        <v>-3708.6491739552962</v>
      </c>
      <c r="BB237" s="130"/>
      <c r="BC237" s="130"/>
      <c r="BD237" s="130"/>
      <c r="BE237" s="128">
        <v>43.807881030931291</v>
      </c>
      <c r="BF237" s="160">
        <v>1587.3663751214772</v>
      </c>
      <c r="BG237" s="129">
        <v>43.535607767136909</v>
      </c>
      <c r="BH237" s="131">
        <v>15444.703595724004</v>
      </c>
      <c r="BI237" s="124"/>
      <c r="BJ237" s="117">
        <v>39806</v>
      </c>
      <c r="BK237" s="117">
        <v>71050</v>
      </c>
      <c r="BL237" s="161">
        <v>2</v>
      </c>
      <c r="BM237" s="161">
        <v>-31242</v>
      </c>
      <c r="BN237" s="117">
        <v>17262</v>
      </c>
      <c r="BO237" s="117">
        <v>18928</v>
      </c>
      <c r="BP237" s="136"/>
      <c r="BR237" s="160">
        <v>-96</v>
      </c>
      <c r="BS237" s="160">
        <v>131</v>
      </c>
      <c r="BT237" s="161">
        <v>4983</v>
      </c>
      <c r="BU237" s="125">
        <v>3659</v>
      </c>
      <c r="BV237" s="160">
        <v>0</v>
      </c>
      <c r="BX237" s="161">
        <v>1324</v>
      </c>
      <c r="BY237" s="161">
        <v>0</v>
      </c>
      <c r="BZ237" s="160">
        <v>5</v>
      </c>
      <c r="CA237" s="160">
        <v>2</v>
      </c>
      <c r="CB237" s="160">
        <v>-1</v>
      </c>
      <c r="CC237" s="160">
        <v>1326</v>
      </c>
      <c r="CD237" s="160">
        <v>12266</v>
      </c>
      <c r="CE237" s="116">
        <v>5102</v>
      </c>
      <c r="CF237" s="150"/>
      <c r="CG237" s="161">
        <v>-487</v>
      </c>
      <c r="CH237" s="160">
        <v>-3313</v>
      </c>
      <c r="CI237" s="159">
        <v>-11</v>
      </c>
      <c r="CK237" s="124"/>
      <c r="CL237" s="161"/>
      <c r="CM237" s="124"/>
      <c r="CN237" s="265">
        <v>22</v>
      </c>
      <c r="CO237" s="130"/>
      <c r="CP237" s="116">
        <v>24</v>
      </c>
      <c r="CQ237" s="267">
        <v>5034</v>
      </c>
      <c r="CR237" s="124"/>
      <c r="CS237" s="268">
        <v>9.7277701778385772</v>
      </c>
      <c r="CT237" s="269">
        <v>43.750570977382772</v>
      </c>
      <c r="CU237" s="160">
        <v>-3250.8939213349227</v>
      </c>
      <c r="CV237" s="130"/>
      <c r="CW237" s="130"/>
      <c r="CX237" s="130"/>
      <c r="CY237" s="269">
        <v>45.660234462519128</v>
      </c>
      <c r="CZ237" s="125">
        <v>2430.4727850615809</v>
      </c>
      <c r="DA237" s="125">
        <v>59.579414315255825</v>
      </c>
      <c r="DB237" s="273">
        <v>14889.749702026222</v>
      </c>
      <c r="DC237" s="124"/>
      <c r="DD237" s="117">
        <v>38100</v>
      </c>
      <c r="DE237" s="117">
        <v>69552</v>
      </c>
      <c r="DF237" s="117">
        <v>2</v>
      </c>
      <c r="DG237" s="117">
        <v>-31450</v>
      </c>
      <c r="DH237" s="117">
        <v>17370</v>
      </c>
      <c r="DI237" s="117">
        <v>21153</v>
      </c>
      <c r="DJ237" s="136"/>
      <c r="DL237" s="160">
        <v>-75</v>
      </c>
      <c r="DM237" s="160">
        <v>3</v>
      </c>
      <c r="DN237" s="161">
        <v>7001</v>
      </c>
      <c r="DO237" s="116">
        <v>4188</v>
      </c>
      <c r="DP237" s="160">
        <v>0</v>
      </c>
      <c r="DR237" s="161">
        <v>2813</v>
      </c>
      <c r="DS237" s="117">
        <v>-1</v>
      </c>
      <c r="DT237" s="116">
        <v>-15</v>
      </c>
      <c r="DU237" s="116">
        <v>14</v>
      </c>
      <c r="DV237" s="116">
        <v>-3</v>
      </c>
      <c r="DW237" s="160">
        <v>2780</v>
      </c>
      <c r="DX237" s="160">
        <v>15030</v>
      </c>
      <c r="DY237" s="116">
        <v>6848</v>
      </c>
      <c r="DZ237" s="150"/>
      <c r="EA237" s="117">
        <v>410</v>
      </c>
      <c r="EB237" s="116">
        <v>-621</v>
      </c>
      <c r="EC237" s="159">
        <v>2744</v>
      </c>
      <c r="EE237" s="125"/>
      <c r="EF237" s="161"/>
      <c r="EG237" s="124"/>
      <c r="EH237" s="253">
        <v>22</v>
      </c>
      <c r="EI237" s="130"/>
      <c r="EJ237" s="125">
        <v>38</v>
      </c>
      <c r="EK237" s="116"/>
      <c r="EL237" s="159"/>
      <c r="EN237" s="116"/>
      <c r="EO237" s="116"/>
      <c r="EP237" s="159"/>
      <c r="EQ237" s="159">
        <v>-1912</v>
      </c>
      <c r="ER237" s="116">
        <v>75</v>
      </c>
      <c r="ES237" s="116">
        <v>38</v>
      </c>
      <c r="ET237" s="160">
        <v>-4929</v>
      </c>
      <c r="EU237" s="116">
        <v>9</v>
      </c>
      <c r="EV237" s="116">
        <v>-193</v>
      </c>
      <c r="EW237" s="160">
        <v>-4283</v>
      </c>
      <c r="EX237" s="160">
        <v>0</v>
      </c>
      <c r="EY237" s="160">
        <v>179</v>
      </c>
      <c r="EZ237" s="116">
        <v>450</v>
      </c>
      <c r="FA237" s="116">
        <v>379</v>
      </c>
      <c r="FB237" s="116">
        <v>2560</v>
      </c>
      <c r="FC237" s="160">
        <v>320</v>
      </c>
      <c r="FD237" s="116">
        <v>1357</v>
      </c>
      <c r="FE237" s="116">
        <v>-521</v>
      </c>
      <c r="FF237" s="3">
        <v>23241</v>
      </c>
      <c r="FG237" s="3">
        <v>16051</v>
      </c>
      <c r="FH237" s="3">
        <v>7190</v>
      </c>
      <c r="FI237" s="3">
        <v>109</v>
      </c>
      <c r="FJ237" s="125">
        <v>22807</v>
      </c>
      <c r="FK237" s="160">
        <v>15633</v>
      </c>
      <c r="FL237" s="125">
        <v>7174</v>
      </c>
      <c r="FM237" s="116">
        <v>96</v>
      </c>
      <c r="FN237" s="125">
        <v>23022</v>
      </c>
      <c r="FO237" s="116">
        <v>16369</v>
      </c>
      <c r="FP237" s="116">
        <v>6653</v>
      </c>
      <c r="FQ237" s="116">
        <v>410</v>
      </c>
      <c r="FR237" s="153">
        <v>274</v>
      </c>
      <c r="FS237" s="153">
        <v>156</v>
      </c>
      <c r="FT237" s="276">
        <v>76</v>
      </c>
      <c r="FU237" s="3">
        <v>756</v>
      </c>
      <c r="FV237" s="159">
        <v>503</v>
      </c>
      <c r="FW237" s="170"/>
      <c r="FZ237" s="155"/>
      <c r="GA237" s="2"/>
      <c r="GD237" s="163"/>
      <c r="GE237" s="2"/>
      <c r="GF237" s="2"/>
    </row>
    <row r="238" spans="1:188" ht="14.5" x14ac:dyDescent="0.35">
      <c r="A238" s="154">
        <v>791</v>
      </c>
      <c r="B238" s="76" t="s">
        <v>360</v>
      </c>
      <c r="C238" s="158">
        <v>5301</v>
      </c>
      <c r="D238" s="171"/>
      <c r="E238" s="128">
        <v>0.6544943820224719</v>
      </c>
      <c r="F238" s="128">
        <v>56.842003105590059</v>
      </c>
      <c r="G238" s="129">
        <v>-5367.477834370874</v>
      </c>
      <c r="H238" s="216"/>
      <c r="I238" s="172"/>
      <c r="J238" s="218"/>
      <c r="K238" s="128">
        <v>31.368751300561843</v>
      </c>
      <c r="L238" s="129">
        <v>969.62837200528202</v>
      </c>
      <c r="M238" s="129">
        <v>24.372215077230859</v>
      </c>
      <c r="N238" s="129">
        <v>14521.222410865874</v>
      </c>
      <c r="O238" s="129"/>
      <c r="P238" s="117">
        <v>31384</v>
      </c>
      <c r="Q238" s="161">
        <v>68747</v>
      </c>
      <c r="R238" s="161">
        <v>4</v>
      </c>
      <c r="S238" s="161">
        <v>-37359</v>
      </c>
      <c r="T238" s="124">
        <v>15953</v>
      </c>
      <c r="U238" s="124">
        <v>24791</v>
      </c>
      <c r="V238" s="136"/>
      <c r="X238" s="116">
        <v>-122</v>
      </c>
      <c r="Y238" s="116">
        <v>41</v>
      </c>
      <c r="Z238" s="161">
        <v>3304</v>
      </c>
      <c r="AA238" s="116">
        <v>3299</v>
      </c>
      <c r="AB238" s="116">
        <v>586</v>
      </c>
      <c r="AD238" s="161">
        <v>591</v>
      </c>
      <c r="AE238" s="117">
        <v>-5</v>
      </c>
      <c r="AF238" s="117">
        <v>-18</v>
      </c>
      <c r="AG238" s="116">
        <v>-45</v>
      </c>
      <c r="AH238" s="117">
        <v>-26</v>
      </c>
      <c r="AI238" s="160">
        <v>497</v>
      </c>
      <c r="AJ238" s="161">
        <v>3920</v>
      </c>
      <c r="AK238" s="161">
        <v>3267</v>
      </c>
      <c r="AL238" s="150"/>
      <c r="AM238" s="161">
        <v>1335</v>
      </c>
      <c r="AN238" s="161">
        <v>-5149</v>
      </c>
      <c r="AO238" s="160">
        <v>1543</v>
      </c>
      <c r="AQ238" s="160"/>
      <c r="AR238" s="117"/>
      <c r="AS238" s="117"/>
      <c r="AT238" s="99">
        <v>22</v>
      </c>
      <c r="AU238" s="130"/>
      <c r="AV238" s="262">
        <v>100</v>
      </c>
      <c r="AW238" s="267">
        <v>5231</v>
      </c>
      <c r="AX238" s="124"/>
      <c r="AY238" s="255">
        <v>1.3551873198847262</v>
      </c>
      <c r="AZ238" s="259">
        <v>59.467272351848031</v>
      </c>
      <c r="BA238" s="160">
        <v>-5620.5314471420379</v>
      </c>
      <c r="BB238" s="130"/>
      <c r="BC238" s="130"/>
      <c r="BD238" s="130"/>
      <c r="BE238" s="128">
        <v>30.820845795044242</v>
      </c>
      <c r="BF238" s="160">
        <v>1140.8908430510419</v>
      </c>
      <c r="BG238" s="129">
        <v>24.625259233979996</v>
      </c>
      <c r="BH238" s="131">
        <v>14564.328044350985</v>
      </c>
      <c r="BI238" s="124"/>
      <c r="BJ238" s="117">
        <v>31702</v>
      </c>
      <c r="BK238" s="117">
        <v>68992</v>
      </c>
      <c r="BL238" s="161">
        <v>6</v>
      </c>
      <c r="BM238" s="161">
        <v>-37284</v>
      </c>
      <c r="BN238" s="117">
        <v>16223</v>
      </c>
      <c r="BO238" s="117">
        <v>24720</v>
      </c>
      <c r="BP238" s="136"/>
      <c r="BR238" s="160">
        <v>-76</v>
      </c>
      <c r="BS238" s="160">
        <v>21</v>
      </c>
      <c r="BT238" s="161">
        <v>3604</v>
      </c>
      <c r="BU238" s="125">
        <v>3664</v>
      </c>
      <c r="BV238" s="160">
        <v>0</v>
      </c>
      <c r="BX238" s="161">
        <v>-60</v>
      </c>
      <c r="BY238" s="161">
        <v>6</v>
      </c>
      <c r="BZ238" s="160">
        <v>-5</v>
      </c>
      <c r="CA238" s="161">
        <v>35</v>
      </c>
      <c r="CB238" s="161">
        <v>-13</v>
      </c>
      <c r="CC238" s="160">
        <v>-107</v>
      </c>
      <c r="CD238" s="160">
        <v>3739</v>
      </c>
      <c r="CE238" s="116">
        <v>3411</v>
      </c>
      <c r="CF238" s="150"/>
      <c r="CG238" s="161">
        <v>-425</v>
      </c>
      <c r="CH238" s="160">
        <v>-2618</v>
      </c>
      <c r="CI238" s="159">
        <v>-935</v>
      </c>
      <c r="CK238" s="124"/>
      <c r="CL238" s="161"/>
      <c r="CM238" s="124"/>
      <c r="CN238" s="265">
        <v>22</v>
      </c>
      <c r="CO238" s="130"/>
      <c r="CP238" s="116">
        <v>64</v>
      </c>
      <c r="CQ238" s="267">
        <v>5203</v>
      </c>
      <c r="CR238" s="124"/>
      <c r="CS238" s="268">
        <v>1.4754768392370572</v>
      </c>
      <c r="CT238" s="269">
        <v>64.170696710421424</v>
      </c>
      <c r="CU238" s="160">
        <v>-5955.025946569287</v>
      </c>
      <c r="CV238" s="130"/>
      <c r="CW238" s="130"/>
      <c r="CX238" s="130"/>
      <c r="CY238" s="269">
        <v>28.037883944216762</v>
      </c>
      <c r="CZ238" s="125">
        <v>1824.1399192773399</v>
      </c>
      <c r="DA238" s="125">
        <v>41.441448446640273</v>
      </c>
      <c r="DB238" s="273">
        <v>16066.307899288873</v>
      </c>
      <c r="DC238" s="124"/>
      <c r="DD238" s="117">
        <v>31758</v>
      </c>
      <c r="DE238" s="117">
        <v>70243</v>
      </c>
      <c r="DF238" s="117">
        <v>9</v>
      </c>
      <c r="DG238" s="117">
        <v>-38476</v>
      </c>
      <c r="DH238" s="117">
        <v>16558</v>
      </c>
      <c r="DI238" s="117">
        <v>26952</v>
      </c>
      <c r="DJ238" s="136"/>
      <c r="DL238" s="160">
        <v>-94</v>
      </c>
      <c r="DM238" s="160">
        <v>-1834</v>
      </c>
      <c r="DN238" s="161">
        <v>3106</v>
      </c>
      <c r="DO238" s="116">
        <v>4684</v>
      </c>
      <c r="DP238" s="160">
        <v>0</v>
      </c>
      <c r="DR238" s="161">
        <v>-1578</v>
      </c>
      <c r="DS238" s="117">
        <v>-13</v>
      </c>
      <c r="DT238" s="116">
        <v>-28</v>
      </c>
      <c r="DU238" s="117">
        <v>30</v>
      </c>
      <c r="DV238" s="117">
        <v>-22</v>
      </c>
      <c r="DW238" s="160">
        <v>-1671</v>
      </c>
      <c r="DX238" s="160">
        <v>3169</v>
      </c>
      <c r="DY238" s="116">
        <v>3149</v>
      </c>
      <c r="DZ238" s="150"/>
      <c r="EA238" s="117">
        <v>5</v>
      </c>
      <c r="EB238" s="116">
        <v>-2059</v>
      </c>
      <c r="EC238" s="159">
        <v>-5862</v>
      </c>
      <c r="EE238" s="125"/>
      <c r="EF238" s="161"/>
      <c r="EG238" s="124"/>
      <c r="EH238" s="253">
        <v>22</v>
      </c>
      <c r="EI238" s="130"/>
      <c r="EJ238" s="125">
        <v>273</v>
      </c>
      <c r="EK238" s="116"/>
      <c r="EL238" s="159"/>
      <c r="EN238" s="116"/>
      <c r="EO238" s="116"/>
      <c r="EP238" s="159"/>
      <c r="EQ238" s="159">
        <v>-2858</v>
      </c>
      <c r="ER238" s="116">
        <v>4</v>
      </c>
      <c r="ES238" s="116">
        <v>1130</v>
      </c>
      <c r="ET238" s="160">
        <v>-4394</v>
      </c>
      <c r="EU238" s="116">
        <v>9</v>
      </c>
      <c r="EV238" s="116">
        <v>39</v>
      </c>
      <c r="EW238" s="160">
        <v>-9256</v>
      </c>
      <c r="EX238" s="160">
        <v>85</v>
      </c>
      <c r="EY238" s="160">
        <v>160</v>
      </c>
      <c r="EZ238" s="116">
        <v>1881</v>
      </c>
      <c r="FA238" s="116">
        <v>-626</v>
      </c>
      <c r="FB238" s="116">
        <v>3688</v>
      </c>
      <c r="FC238" s="160">
        <v>1491</v>
      </c>
      <c r="FD238" s="116">
        <v>5214</v>
      </c>
      <c r="FE238" s="116">
        <v>2060</v>
      </c>
      <c r="FF238" s="3">
        <v>31634</v>
      </c>
      <c r="FG238" s="3">
        <v>20107</v>
      </c>
      <c r="FH238" s="3">
        <v>11527</v>
      </c>
      <c r="FI238" s="3">
        <v>215</v>
      </c>
      <c r="FJ238" s="125">
        <v>34195</v>
      </c>
      <c r="FK238" s="160">
        <v>21901</v>
      </c>
      <c r="FL238" s="125">
        <v>12294</v>
      </c>
      <c r="FM238" s="116">
        <v>175</v>
      </c>
      <c r="FN238" s="125">
        <v>37146</v>
      </c>
      <c r="FO238" s="116">
        <v>22838</v>
      </c>
      <c r="FP238" s="116">
        <v>14308</v>
      </c>
      <c r="FQ238" s="116">
        <v>5</v>
      </c>
      <c r="FR238" s="153">
        <v>637</v>
      </c>
      <c r="FS238" s="153">
        <v>565</v>
      </c>
      <c r="FT238" s="276">
        <v>495</v>
      </c>
      <c r="FU238" s="3">
        <v>1562</v>
      </c>
      <c r="FV238" s="159">
        <v>1265</v>
      </c>
      <c r="FW238" s="170"/>
      <c r="FZ238" s="155"/>
      <c r="GA238" s="2"/>
      <c r="GD238" s="163"/>
      <c r="GE238" s="2"/>
      <c r="GF238" s="2"/>
    </row>
    <row r="239" spans="1:188" ht="14.5" x14ac:dyDescent="0.35">
      <c r="A239" s="72">
        <v>749</v>
      </c>
      <c r="B239" s="70" t="s">
        <v>228</v>
      </c>
      <c r="C239" s="158">
        <v>21674</v>
      </c>
      <c r="D239" s="171"/>
      <c r="E239" s="128">
        <v>0.435129851996649</v>
      </c>
      <c r="F239" s="128">
        <v>86.466639803189679</v>
      </c>
      <c r="G239" s="129">
        <v>-6585.2634492940851</v>
      </c>
      <c r="H239" s="216"/>
      <c r="I239" s="172"/>
      <c r="J239" s="218"/>
      <c r="K239" s="128">
        <v>26.667489846227117</v>
      </c>
      <c r="L239" s="129">
        <v>574.7900710528744</v>
      </c>
      <c r="M239" s="129">
        <v>20.710752609812531</v>
      </c>
      <c r="N239" s="129">
        <v>10129.925256067176</v>
      </c>
      <c r="O239" s="129"/>
      <c r="P239" s="117">
        <v>65072</v>
      </c>
      <c r="Q239" s="161">
        <v>182040</v>
      </c>
      <c r="R239" s="161">
        <v>174</v>
      </c>
      <c r="S239" s="161">
        <v>-116794</v>
      </c>
      <c r="T239" s="124">
        <v>85196</v>
      </c>
      <c r="U239" s="124">
        <v>38340</v>
      </c>
      <c r="V239" s="136"/>
      <c r="X239" s="116">
        <v>-1550</v>
      </c>
      <c r="Y239" s="116">
        <v>1002</v>
      </c>
      <c r="Z239" s="161">
        <v>6194</v>
      </c>
      <c r="AA239" s="116">
        <v>11773</v>
      </c>
      <c r="AB239" s="116">
        <v>-743</v>
      </c>
      <c r="AD239" s="161">
        <v>-6322</v>
      </c>
      <c r="AE239" s="116">
        <v>-11</v>
      </c>
      <c r="AF239" s="116">
        <v>59</v>
      </c>
      <c r="AG239" s="116">
        <v>-84</v>
      </c>
      <c r="AH239" s="116">
        <v>-64</v>
      </c>
      <c r="AI239" s="160">
        <v>-6422</v>
      </c>
      <c r="AJ239" s="161">
        <v>-4286</v>
      </c>
      <c r="AK239" s="161">
        <v>3951</v>
      </c>
      <c r="AL239" s="150"/>
      <c r="AM239" s="161">
        <v>145</v>
      </c>
      <c r="AN239" s="161">
        <v>-16308</v>
      </c>
      <c r="AO239" s="160">
        <v>-8230</v>
      </c>
      <c r="AQ239" s="160"/>
      <c r="AR239" s="117"/>
      <c r="AS239" s="117"/>
      <c r="AT239" s="99">
        <v>21.25</v>
      </c>
      <c r="AU239" s="130"/>
      <c r="AV239" s="262">
        <v>224</v>
      </c>
      <c r="AW239" s="267">
        <v>21423</v>
      </c>
      <c r="AX239" s="124"/>
      <c r="AY239" s="255">
        <v>0.30372333867587226</v>
      </c>
      <c r="AZ239" s="259">
        <v>92.378965162040089</v>
      </c>
      <c r="BA239" s="160">
        <v>-7056.0145637865844</v>
      </c>
      <c r="BB239" s="130"/>
      <c r="BC239" s="130"/>
      <c r="BD239" s="130"/>
      <c r="BE239" s="128">
        <v>26.835435727780482</v>
      </c>
      <c r="BF239" s="160">
        <v>695.28077300098028</v>
      </c>
      <c r="BG239" s="129">
        <v>18.260259396080951</v>
      </c>
      <c r="BH239" s="131">
        <v>11624.889137842505</v>
      </c>
      <c r="BI239" s="124"/>
      <c r="BJ239" s="117">
        <v>69500</v>
      </c>
      <c r="BK239" s="117">
        <v>185687</v>
      </c>
      <c r="BL239" s="161">
        <v>145</v>
      </c>
      <c r="BM239" s="161">
        <v>-116042</v>
      </c>
      <c r="BN239" s="117">
        <v>85236</v>
      </c>
      <c r="BO239" s="117">
        <v>34569</v>
      </c>
      <c r="BP239" s="136"/>
      <c r="BR239" s="160">
        <v>-1364</v>
      </c>
      <c r="BS239" s="160">
        <v>1087</v>
      </c>
      <c r="BT239" s="161">
        <v>3486</v>
      </c>
      <c r="BU239" s="125">
        <v>12206</v>
      </c>
      <c r="BV239" s="160">
        <v>12996</v>
      </c>
      <c r="BX239" s="161">
        <v>4276</v>
      </c>
      <c r="BY239" s="160">
        <v>-56</v>
      </c>
      <c r="BZ239" s="160">
        <v>40</v>
      </c>
      <c r="CA239" s="160">
        <v>103</v>
      </c>
      <c r="CB239" s="160">
        <v>-45</v>
      </c>
      <c r="CC239" s="160">
        <v>4112</v>
      </c>
      <c r="CD239" s="160">
        <v>-152</v>
      </c>
      <c r="CE239" s="116">
        <v>14744</v>
      </c>
      <c r="CF239" s="150"/>
      <c r="CG239" s="161">
        <v>-927</v>
      </c>
      <c r="CH239" s="160">
        <v>-14781</v>
      </c>
      <c r="CI239" s="159">
        <v>14223</v>
      </c>
      <c r="CK239" s="124"/>
      <c r="CL239" s="161"/>
      <c r="CM239" s="124"/>
      <c r="CN239" s="265">
        <v>21.25</v>
      </c>
      <c r="CO239" s="130"/>
      <c r="CP239" s="116">
        <v>246</v>
      </c>
      <c r="CQ239" s="267">
        <v>21251</v>
      </c>
      <c r="CR239" s="124"/>
      <c r="CS239" s="268">
        <v>0.99977137631458624</v>
      </c>
      <c r="CT239" s="269">
        <v>86.590511123359292</v>
      </c>
      <c r="CU239" s="160">
        <v>-6701.8493247376591</v>
      </c>
      <c r="CV239" s="130"/>
      <c r="CW239" s="130"/>
      <c r="CX239" s="130"/>
      <c r="CY239" s="269">
        <v>27.483645703736403</v>
      </c>
      <c r="CZ239" s="125">
        <v>1208.0843254435085</v>
      </c>
      <c r="DA239" s="125">
        <v>43.121292721424332</v>
      </c>
      <c r="DB239" s="273">
        <v>10225.82466707449</v>
      </c>
      <c r="DC239" s="124"/>
      <c r="DD239" s="117">
        <v>68217</v>
      </c>
      <c r="DE239" s="117">
        <v>189454</v>
      </c>
      <c r="DF239" s="117">
        <v>174</v>
      </c>
      <c r="DG239" s="117">
        <v>-121063</v>
      </c>
      <c r="DH239" s="117">
        <v>91601</v>
      </c>
      <c r="DI239" s="117">
        <v>45201</v>
      </c>
      <c r="DJ239" s="136"/>
      <c r="DL239" s="160">
        <v>-403</v>
      </c>
      <c r="DM239" s="160">
        <v>930</v>
      </c>
      <c r="DN239" s="161">
        <v>16266</v>
      </c>
      <c r="DO239" s="116">
        <v>12416</v>
      </c>
      <c r="DP239" s="160">
        <v>29</v>
      </c>
      <c r="DR239" s="161">
        <v>3879</v>
      </c>
      <c r="DS239" s="116">
        <v>-27</v>
      </c>
      <c r="DT239" s="116">
        <v>44</v>
      </c>
      <c r="DU239" s="116">
        <v>115</v>
      </c>
      <c r="DV239" s="116">
        <v>3</v>
      </c>
      <c r="DW239" s="160">
        <v>3784</v>
      </c>
      <c r="DX239" s="160">
        <v>3311</v>
      </c>
      <c r="DY239" s="116">
        <v>15185</v>
      </c>
      <c r="DZ239" s="150"/>
      <c r="EA239" s="117">
        <v>-611</v>
      </c>
      <c r="EB239" s="116">
        <v>-16270</v>
      </c>
      <c r="EC239" s="159">
        <v>8586</v>
      </c>
      <c r="EE239" s="125"/>
      <c r="EF239" s="161"/>
      <c r="EG239" s="124"/>
      <c r="EH239" s="253">
        <v>22</v>
      </c>
      <c r="EI239" s="130"/>
      <c r="EJ239" s="125">
        <v>235</v>
      </c>
      <c r="EK239" s="116"/>
      <c r="EL239" s="159"/>
      <c r="EN239" s="116"/>
      <c r="EO239" s="116"/>
      <c r="EP239" s="159"/>
      <c r="EQ239" s="159">
        <v>-19581</v>
      </c>
      <c r="ER239" s="116">
        <v>726</v>
      </c>
      <c r="ES239" s="116">
        <v>6674</v>
      </c>
      <c r="ET239" s="160">
        <v>-24564</v>
      </c>
      <c r="EU239" s="116">
        <v>148</v>
      </c>
      <c r="EV239" s="116">
        <v>23895</v>
      </c>
      <c r="EW239" s="160">
        <v>-10346</v>
      </c>
      <c r="EX239" s="160">
        <v>31</v>
      </c>
      <c r="EY239" s="160">
        <v>3716</v>
      </c>
      <c r="EZ239" s="116">
        <v>21319</v>
      </c>
      <c r="FA239" s="116">
        <v>-252</v>
      </c>
      <c r="FB239" s="116">
        <v>30153</v>
      </c>
      <c r="FC239" s="160">
        <v>28</v>
      </c>
      <c r="FD239" s="116">
        <v>19626</v>
      </c>
      <c r="FE239" s="116">
        <v>-326</v>
      </c>
      <c r="FF239" s="3">
        <v>133337</v>
      </c>
      <c r="FG239" s="3">
        <v>118137</v>
      </c>
      <c r="FH239" s="3">
        <v>15200</v>
      </c>
      <c r="FI239" s="3">
        <v>99</v>
      </c>
      <c r="FJ239" s="125">
        <v>148806</v>
      </c>
      <c r="FK239" s="160">
        <v>132045</v>
      </c>
      <c r="FL239" s="125">
        <v>16761</v>
      </c>
      <c r="FM239" s="116">
        <v>22457</v>
      </c>
      <c r="FN239" s="125">
        <v>152025</v>
      </c>
      <c r="FO239" s="116">
        <v>133554</v>
      </c>
      <c r="FP239" s="116">
        <v>18471</v>
      </c>
      <c r="FQ239" s="116">
        <v>-611</v>
      </c>
      <c r="FR239" s="153">
        <v>428</v>
      </c>
      <c r="FS239" s="153">
        <v>480</v>
      </c>
      <c r="FT239" s="276">
        <v>467</v>
      </c>
      <c r="FU239" s="3">
        <v>61017</v>
      </c>
      <c r="FV239" s="159">
        <v>53988</v>
      </c>
      <c r="FW239" s="170"/>
      <c r="FZ239" s="155"/>
      <c r="GA239" s="2"/>
      <c r="GD239" s="163"/>
      <c r="GE239" s="2"/>
      <c r="GF239" s="2"/>
    </row>
    <row r="240" spans="1:188" ht="14.5" x14ac:dyDescent="0.35">
      <c r="A240" s="72">
        <v>751</v>
      </c>
      <c r="B240" s="70" t="s">
        <v>229</v>
      </c>
      <c r="C240" s="158">
        <v>3045</v>
      </c>
      <c r="D240" s="171"/>
      <c r="E240" s="128">
        <v>0.66337448559670786</v>
      </c>
      <c r="F240" s="128">
        <v>34.104190827023217</v>
      </c>
      <c r="G240" s="129">
        <v>-3059.7701149425288</v>
      </c>
      <c r="H240" s="216"/>
      <c r="I240" s="172"/>
      <c r="J240" s="218"/>
      <c r="K240" s="128">
        <v>36.987566880942296</v>
      </c>
      <c r="L240" s="129">
        <v>1192.7750410509029</v>
      </c>
      <c r="M240" s="129">
        <v>29.163385177200432</v>
      </c>
      <c r="N240" s="129">
        <v>14928.40722495895</v>
      </c>
      <c r="O240" s="129"/>
      <c r="P240" s="117">
        <v>23631</v>
      </c>
      <c r="Q240" s="161">
        <v>43194</v>
      </c>
      <c r="R240" s="161">
        <v>0</v>
      </c>
      <c r="S240" s="161">
        <v>-19563</v>
      </c>
      <c r="T240" s="124">
        <v>11951</v>
      </c>
      <c r="U240" s="124">
        <v>8395</v>
      </c>
      <c r="V240" s="136"/>
      <c r="X240" s="116">
        <v>-96</v>
      </c>
      <c r="Y240" s="116">
        <v>17</v>
      </c>
      <c r="Z240" s="161">
        <v>704</v>
      </c>
      <c r="AA240" s="116">
        <v>1335</v>
      </c>
      <c r="AB240" s="116">
        <v>3</v>
      </c>
      <c r="AD240" s="161">
        <v>-628</v>
      </c>
      <c r="AE240" s="116">
        <v>0</v>
      </c>
      <c r="AF240" s="116">
        <v>-1</v>
      </c>
      <c r="AG240" s="116">
        <v>0</v>
      </c>
      <c r="AH240" s="116">
        <v>0</v>
      </c>
      <c r="AI240" s="160">
        <v>-629</v>
      </c>
      <c r="AJ240" s="161">
        <v>1168</v>
      </c>
      <c r="AK240" s="161">
        <v>774</v>
      </c>
      <c r="AL240" s="150"/>
      <c r="AM240" s="161">
        <v>404</v>
      </c>
      <c r="AN240" s="161">
        <v>-1113</v>
      </c>
      <c r="AO240" s="160">
        <v>-118</v>
      </c>
      <c r="AQ240" s="160"/>
      <c r="AR240" s="117"/>
      <c r="AS240" s="117"/>
      <c r="AT240" s="99">
        <v>22</v>
      </c>
      <c r="AU240" s="130"/>
      <c r="AV240" s="262">
        <v>243</v>
      </c>
      <c r="AW240" s="267">
        <v>2988</v>
      </c>
      <c r="AX240" s="124"/>
      <c r="AY240" s="255">
        <v>-0.17942942942942944</v>
      </c>
      <c r="AZ240" s="259">
        <v>34.856027987082882</v>
      </c>
      <c r="BA240" s="160">
        <v>-3713.5207496653279</v>
      </c>
      <c r="BB240" s="130"/>
      <c r="BC240" s="130"/>
      <c r="BD240" s="130"/>
      <c r="BE240" s="128">
        <v>31.889574485135025</v>
      </c>
      <c r="BF240" s="160">
        <v>674.36412315930386</v>
      </c>
      <c r="BG240" s="129">
        <v>28.145496294750028</v>
      </c>
      <c r="BH240" s="131">
        <v>16032.463186077646</v>
      </c>
      <c r="BI240" s="124"/>
      <c r="BJ240" s="117">
        <v>23850</v>
      </c>
      <c r="BK240" s="117">
        <v>44842</v>
      </c>
      <c r="BL240" s="161">
        <v>0</v>
      </c>
      <c r="BM240" s="161">
        <v>-20992</v>
      </c>
      <c r="BN240" s="117">
        <v>12338</v>
      </c>
      <c r="BO240" s="117">
        <v>8404</v>
      </c>
      <c r="BP240" s="136"/>
      <c r="BR240" s="160">
        <v>-65</v>
      </c>
      <c r="BS240" s="160">
        <v>5</v>
      </c>
      <c r="BT240" s="161">
        <v>-310</v>
      </c>
      <c r="BU240" s="125">
        <v>1367</v>
      </c>
      <c r="BV240" s="160">
        <v>0</v>
      </c>
      <c r="BX240" s="161">
        <v>-1677</v>
      </c>
      <c r="BY240" s="160">
        <v>0</v>
      </c>
      <c r="BZ240" s="160">
        <v>-4</v>
      </c>
      <c r="CA240" s="160">
        <v>0</v>
      </c>
      <c r="CB240" s="160">
        <v>0</v>
      </c>
      <c r="CC240" s="160">
        <v>-1681</v>
      </c>
      <c r="CD240" s="160">
        <v>-558</v>
      </c>
      <c r="CE240" s="116">
        <v>-276</v>
      </c>
      <c r="CF240" s="150"/>
      <c r="CG240" s="161">
        <v>-341</v>
      </c>
      <c r="CH240" s="160">
        <v>-1261</v>
      </c>
      <c r="CI240" s="159">
        <v>-1815</v>
      </c>
      <c r="CK240" s="124"/>
      <c r="CL240" s="161"/>
      <c r="CM240" s="124"/>
      <c r="CN240" s="265">
        <v>22</v>
      </c>
      <c r="CO240" s="130"/>
      <c r="CP240" s="116">
        <v>280</v>
      </c>
      <c r="CQ240" s="267">
        <v>2950</v>
      </c>
      <c r="CR240" s="124"/>
      <c r="CS240" s="268">
        <v>2.3286189683860234</v>
      </c>
      <c r="CT240" s="269">
        <v>32.259393361229755</v>
      </c>
      <c r="CU240" s="160">
        <v>-3205.0847457627119</v>
      </c>
      <c r="CV240" s="130"/>
      <c r="CW240" s="130"/>
      <c r="CX240" s="130"/>
      <c r="CY240" s="269">
        <v>37.976172408559719</v>
      </c>
      <c r="CZ240" s="125">
        <v>1006.779661016949</v>
      </c>
      <c r="DA240" s="125">
        <v>23.721525635134245</v>
      </c>
      <c r="DB240" s="273">
        <v>15491.186440677966</v>
      </c>
      <c r="DC240" s="124"/>
      <c r="DD240" s="117">
        <v>23915</v>
      </c>
      <c r="DE240" s="117">
        <v>43319</v>
      </c>
      <c r="DF240" s="117">
        <v>0</v>
      </c>
      <c r="DG240" s="117">
        <v>-19404</v>
      </c>
      <c r="DH240" s="117">
        <v>12194</v>
      </c>
      <c r="DI240" s="117">
        <v>10014</v>
      </c>
      <c r="DJ240" s="136"/>
      <c r="DL240" s="160">
        <v>-63</v>
      </c>
      <c r="DM240" s="160">
        <v>-8</v>
      </c>
      <c r="DN240" s="161">
        <v>2733</v>
      </c>
      <c r="DO240" s="116">
        <v>1397</v>
      </c>
      <c r="DP240" s="160">
        <v>-1</v>
      </c>
      <c r="DR240" s="161">
        <v>1335</v>
      </c>
      <c r="DS240" s="116">
        <v>0</v>
      </c>
      <c r="DT240" s="116">
        <v>3</v>
      </c>
      <c r="DU240" s="116">
        <v>0</v>
      </c>
      <c r="DV240" s="116">
        <v>0</v>
      </c>
      <c r="DW240" s="160">
        <v>1338</v>
      </c>
      <c r="DX240" s="160">
        <v>1530</v>
      </c>
      <c r="DY240" s="116">
        <v>2558</v>
      </c>
      <c r="DZ240" s="150"/>
      <c r="EA240" s="117">
        <v>-180</v>
      </c>
      <c r="EB240" s="116">
        <v>-1136</v>
      </c>
      <c r="EC240" s="159">
        <v>1547</v>
      </c>
      <c r="EE240" s="125"/>
      <c r="EF240" s="161"/>
      <c r="EG240" s="124"/>
      <c r="EH240" s="253">
        <v>22</v>
      </c>
      <c r="EI240" s="130"/>
      <c r="EJ240" s="125">
        <v>173</v>
      </c>
      <c r="EK240" s="116"/>
      <c r="EL240" s="159"/>
      <c r="EN240" s="116"/>
      <c r="EO240" s="116"/>
      <c r="EP240" s="159"/>
      <c r="EQ240" s="159">
        <v>-1046</v>
      </c>
      <c r="ER240" s="116">
        <v>49</v>
      </c>
      <c r="ES240" s="116">
        <v>105</v>
      </c>
      <c r="ET240" s="160">
        <v>-1717</v>
      </c>
      <c r="EU240" s="116">
        <v>108</v>
      </c>
      <c r="EV240" s="116">
        <v>70</v>
      </c>
      <c r="EW240" s="160">
        <v>-1169</v>
      </c>
      <c r="EX240" s="160">
        <v>64</v>
      </c>
      <c r="EY240" s="160">
        <v>94</v>
      </c>
      <c r="EZ240" s="116">
        <v>270</v>
      </c>
      <c r="FA240" s="116">
        <v>-6</v>
      </c>
      <c r="FB240" s="116">
        <v>1127</v>
      </c>
      <c r="FC240" s="160">
        <v>87</v>
      </c>
      <c r="FD240" s="116">
        <v>1309</v>
      </c>
      <c r="FE240" s="116">
        <v>-55</v>
      </c>
      <c r="FF240" s="3">
        <v>8479</v>
      </c>
      <c r="FG240" s="3">
        <v>7071</v>
      </c>
      <c r="FH240" s="3">
        <v>1408</v>
      </c>
      <c r="FI240" s="3">
        <v>0</v>
      </c>
      <c r="FJ240" s="125">
        <v>8335</v>
      </c>
      <c r="FK240" s="160">
        <v>6757</v>
      </c>
      <c r="FL240" s="125">
        <v>1578</v>
      </c>
      <c r="FM240" s="116">
        <v>0</v>
      </c>
      <c r="FN240" s="125">
        <v>8139</v>
      </c>
      <c r="FO240" s="116">
        <v>6518</v>
      </c>
      <c r="FP240" s="116">
        <v>1621</v>
      </c>
      <c r="FQ240" s="116">
        <v>-180</v>
      </c>
      <c r="FR240" s="153">
        <v>841</v>
      </c>
      <c r="FS240" s="153">
        <v>827</v>
      </c>
      <c r="FT240" s="276">
        <v>696</v>
      </c>
      <c r="FU240" s="3">
        <v>755</v>
      </c>
      <c r="FV240" s="159">
        <v>355</v>
      </c>
      <c r="FW240" s="170"/>
      <c r="FZ240" s="155"/>
      <c r="GA240" s="2"/>
      <c r="GD240" s="163"/>
      <c r="GE240" s="2"/>
      <c r="GF240" s="2"/>
    </row>
    <row r="241" spans="1:188" ht="14.5" x14ac:dyDescent="0.35">
      <c r="A241" s="72">
        <v>753</v>
      </c>
      <c r="B241" s="70" t="s">
        <v>230</v>
      </c>
      <c r="C241" s="158">
        <v>20666</v>
      </c>
      <c r="D241" s="171"/>
      <c r="E241" s="128">
        <v>1.2080103359173127</v>
      </c>
      <c r="F241" s="128">
        <v>62.365330050354274</v>
      </c>
      <c r="G241" s="129">
        <v>-4747.3144294977255</v>
      </c>
      <c r="H241" s="216"/>
      <c r="I241" s="172"/>
      <c r="J241" s="218"/>
      <c r="K241" s="128">
        <v>51.702038749909597</v>
      </c>
      <c r="L241" s="129">
        <v>584.14787573792705</v>
      </c>
      <c r="M241" s="129">
        <v>19.56676968986465</v>
      </c>
      <c r="N241" s="129">
        <v>10896.738604471113</v>
      </c>
      <c r="O241" s="129"/>
      <c r="P241" s="117">
        <v>74669</v>
      </c>
      <c r="Q241" s="161">
        <v>177288</v>
      </c>
      <c r="R241" s="161">
        <v>1000</v>
      </c>
      <c r="S241" s="161">
        <v>-101619</v>
      </c>
      <c r="T241" s="124">
        <v>98946</v>
      </c>
      <c r="U241" s="124">
        <v>15644</v>
      </c>
      <c r="V241" s="136"/>
      <c r="X241" s="116">
        <v>-521</v>
      </c>
      <c r="Y241" s="116">
        <v>87</v>
      </c>
      <c r="Z241" s="161">
        <v>12537</v>
      </c>
      <c r="AA241" s="116">
        <v>11177</v>
      </c>
      <c r="AB241" s="116">
        <v>0</v>
      </c>
      <c r="AD241" s="161">
        <v>1360</v>
      </c>
      <c r="AE241" s="116">
        <v>-237</v>
      </c>
      <c r="AF241" s="116">
        <v>-5</v>
      </c>
      <c r="AG241" s="116">
        <v>-5</v>
      </c>
      <c r="AH241" s="117">
        <v>-12</v>
      </c>
      <c r="AI241" s="160">
        <v>1101</v>
      </c>
      <c r="AJ241" s="161">
        <v>60135</v>
      </c>
      <c r="AK241" s="161">
        <v>6733</v>
      </c>
      <c r="AL241" s="150"/>
      <c r="AM241" s="161">
        <v>2633</v>
      </c>
      <c r="AN241" s="161">
        <v>-10283</v>
      </c>
      <c r="AO241" s="160">
        <v>-24686</v>
      </c>
      <c r="AQ241" s="160"/>
      <c r="AR241" s="117"/>
      <c r="AS241" s="117"/>
      <c r="AT241" s="99">
        <v>19.25</v>
      </c>
      <c r="AU241" s="130"/>
      <c r="AV241" s="262">
        <v>110</v>
      </c>
      <c r="AW241" s="267">
        <v>21170</v>
      </c>
      <c r="AX241" s="124"/>
      <c r="AY241" s="255">
        <v>1.0222814498933901</v>
      </c>
      <c r="AZ241" s="259">
        <v>80.600127795527158</v>
      </c>
      <c r="BA241" s="160">
        <v>-6121.4454416627295</v>
      </c>
      <c r="BB241" s="130"/>
      <c r="BC241" s="130"/>
      <c r="BD241" s="130"/>
      <c r="BE241" s="128">
        <v>45.024394128788536</v>
      </c>
      <c r="BF241" s="160">
        <v>828.86159659896077</v>
      </c>
      <c r="BG241" s="129">
        <v>18.451295193588102</v>
      </c>
      <c r="BH241" s="131">
        <v>11280.396787907415</v>
      </c>
      <c r="BI241" s="124"/>
      <c r="BJ241" s="117">
        <v>74973</v>
      </c>
      <c r="BK241" s="117">
        <v>186153</v>
      </c>
      <c r="BL241" s="161">
        <v>23</v>
      </c>
      <c r="BM241" s="161">
        <v>-111157</v>
      </c>
      <c r="BN241" s="117">
        <v>103221</v>
      </c>
      <c r="BO241" s="117">
        <v>17431</v>
      </c>
      <c r="BP241" s="136"/>
      <c r="BR241" s="160">
        <v>-453</v>
      </c>
      <c r="BS241" s="160">
        <v>42</v>
      </c>
      <c r="BT241" s="161">
        <v>9084</v>
      </c>
      <c r="BU241" s="125">
        <v>15960</v>
      </c>
      <c r="BV241" s="160">
        <v>6311</v>
      </c>
      <c r="BX241" s="161">
        <v>-565</v>
      </c>
      <c r="BY241" s="160">
        <v>-13</v>
      </c>
      <c r="BZ241" s="160">
        <v>0</v>
      </c>
      <c r="CA241" s="161">
        <v>3</v>
      </c>
      <c r="CB241" s="161">
        <v>-11</v>
      </c>
      <c r="CC241" s="160">
        <v>-592</v>
      </c>
      <c r="CD241" s="160">
        <v>60927</v>
      </c>
      <c r="CE241" s="116">
        <v>12645</v>
      </c>
      <c r="CF241" s="150"/>
      <c r="CG241" s="161">
        <v>-2828</v>
      </c>
      <c r="CH241" s="160">
        <v>-8875</v>
      </c>
      <c r="CI241" s="159">
        <v>-22313</v>
      </c>
      <c r="CK241" s="124"/>
      <c r="CL241" s="161"/>
      <c r="CM241" s="124"/>
      <c r="CN241" s="265">
        <v>19.25</v>
      </c>
      <c r="CO241" s="130"/>
      <c r="CP241" s="116">
        <v>154</v>
      </c>
      <c r="CQ241" s="267">
        <v>21687</v>
      </c>
      <c r="CR241" s="124"/>
      <c r="CS241" s="268">
        <v>1.5613275613275612</v>
      </c>
      <c r="CT241" s="269">
        <v>79.574537687378523</v>
      </c>
      <c r="CU241" s="160">
        <v>-6497.3025314704664</v>
      </c>
      <c r="CV241" s="130"/>
      <c r="CW241" s="130"/>
      <c r="CX241" s="130"/>
      <c r="CY241" s="269">
        <v>43.526284741763348</v>
      </c>
      <c r="CZ241" s="125">
        <v>774.01208097016649</v>
      </c>
      <c r="DA241" s="125">
        <v>26.260163298544885</v>
      </c>
      <c r="DB241" s="273">
        <v>10758.288375524508</v>
      </c>
      <c r="DC241" s="124"/>
      <c r="DD241" s="117">
        <v>74677</v>
      </c>
      <c r="DE241" s="117">
        <v>191782</v>
      </c>
      <c r="DF241" s="117">
        <v>15</v>
      </c>
      <c r="DG241" s="117">
        <v>-117090</v>
      </c>
      <c r="DH241" s="117">
        <v>107044</v>
      </c>
      <c r="DI241" s="117">
        <v>26147</v>
      </c>
      <c r="DJ241" s="136"/>
      <c r="DL241" s="160">
        <v>-426</v>
      </c>
      <c r="DM241" s="160">
        <v>47</v>
      </c>
      <c r="DN241" s="161">
        <v>15722</v>
      </c>
      <c r="DO241" s="116">
        <v>17298</v>
      </c>
      <c r="DP241" s="160">
        <v>0</v>
      </c>
      <c r="DR241" s="161">
        <v>-1576</v>
      </c>
      <c r="DS241" s="116">
        <v>32</v>
      </c>
      <c r="DT241" s="116">
        <v>0</v>
      </c>
      <c r="DU241" s="117">
        <v>6</v>
      </c>
      <c r="DV241" s="117">
        <v>-10</v>
      </c>
      <c r="DW241" s="160">
        <v>-1560</v>
      </c>
      <c r="DX241" s="160">
        <v>59846</v>
      </c>
      <c r="DY241" s="116">
        <v>10646</v>
      </c>
      <c r="DZ241" s="150"/>
      <c r="EA241" s="117">
        <v>2819</v>
      </c>
      <c r="EB241" s="116">
        <v>-9887</v>
      </c>
      <c r="EC241" s="159">
        <v>-12302</v>
      </c>
      <c r="EE241" s="125"/>
      <c r="EF241" s="161"/>
      <c r="EG241" s="124"/>
      <c r="EH241" s="253">
        <v>19.25</v>
      </c>
      <c r="EI241" s="130"/>
      <c r="EJ241" s="125">
        <v>252</v>
      </c>
      <c r="EK241" s="116"/>
      <c r="EL241" s="159"/>
      <c r="EN241" s="116"/>
      <c r="EO241" s="116"/>
      <c r="EP241" s="159"/>
      <c r="EQ241" s="159">
        <v>-36895</v>
      </c>
      <c r="ER241" s="116">
        <v>70</v>
      </c>
      <c r="ES241" s="116">
        <v>5406</v>
      </c>
      <c r="ET241" s="160">
        <v>-43089</v>
      </c>
      <c r="EU241" s="116">
        <v>243</v>
      </c>
      <c r="EV241" s="116">
        <v>7888</v>
      </c>
      <c r="EW241" s="160">
        <v>-30951</v>
      </c>
      <c r="EX241" s="160">
        <v>532</v>
      </c>
      <c r="EY241" s="160">
        <v>7471</v>
      </c>
      <c r="EZ241" s="116">
        <v>12852</v>
      </c>
      <c r="FA241" s="116">
        <v>15233</v>
      </c>
      <c r="FB241" s="116">
        <v>13006</v>
      </c>
      <c r="FC241" s="160">
        <v>35889</v>
      </c>
      <c r="FD241" s="116">
        <v>37067</v>
      </c>
      <c r="FE241" s="116">
        <v>-20991</v>
      </c>
      <c r="FF241" s="3">
        <v>77651</v>
      </c>
      <c r="FG241" s="3">
        <v>53103</v>
      </c>
      <c r="FH241" s="3">
        <v>24548</v>
      </c>
      <c r="FI241" s="3">
        <v>3</v>
      </c>
      <c r="FJ241" s="125">
        <v>117632</v>
      </c>
      <c r="FK241" s="160">
        <v>58319</v>
      </c>
      <c r="FL241" s="125">
        <v>59313</v>
      </c>
      <c r="FM241" s="116">
        <v>3</v>
      </c>
      <c r="FN241" s="125">
        <v>123245</v>
      </c>
      <c r="FO241" s="116">
        <v>81823</v>
      </c>
      <c r="FP241" s="116">
        <v>41422</v>
      </c>
      <c r="FQ241" s="116">
        <v>2819</v>
      </c>
      <c r="FR241" s="153">
        <v>9845</v>
      </c>
      <c r="FS241" s="153">
        <v>8470</v>
      </c>
      <c r="FT241" s="276">
        <v>9171</v>
      </c>
      <c r="FU241" s="3">
        <v>13494</v>
      </c>
      <c r="FV241" s="159">
        <v>11898</v>
      </c>
      <c r="FW241" s="170"/>
      <c r="FZ241" s="155"/>
      <c r="GA241" s="2"/>
      <c r="GD241" s="163"/>
      <c r="GE241" s="2"/>
      <c r="GF241" s="2"/>
    </row>
    <row r="242" spans="1:188" ht="14.5" x14ac:dyDescent="0.35">
      <c r="A242" s="72">
        <v>755</v>
      </c>
      <c r="B242" s="70" t="s">
        <v>231</v>
      </c>
      <c r="C242" s="158">
        <v>6134</v>
      </c>
      <c r="D242" s="171"/>
      <c r="E242" s="128">
        <v>0.96170442286947144</v>
      </c>
      <c r="F242" s="128">
        <v>57.631815458358297</v>
      </c>
      <c r="G242" s="129">
        <v>-4312.3573524616886</v>
      </c>
      <c r="H242" s="216"/>
      <c r="I242" s="172"/>
      <c r="J242" s="218"/>
      <c r="K242" s="128">
        <v>28.554733151538763</v>
      </c>
      <c r="L242" s="129">
        <v>293.28333876752527</v>
      </c>
      <c r="M242" s="129">
        <v>11.205757875695415</v>
      </c>
      <c r="N242" s="129">
        <v>9552.9833713726784</v>
      </c>
      <c r="O242" s="129"/>
      <c r="P242" s="117">
        <v>19476</v>
      </c>
      <c r="Q242" s="161">
        <v>49863</v>
      </c>
      <c r="R242" s="161">
        <v>-3</v>
      </c>
      <c r="S242" s="161">
        <v>-30390</v>
      </c>
      <c r="T242" s="124">
        <v>28866</v>
      </c>
      <c r="U242" s="124">
        <v>5066</v>
      </c>
      <c r="V242" s="136"/>
      <c r="X242" s="116">
        <v>-318</v>
      </c>
      <c r="Y242" s="116">
        <v>18</v>
      </c>
      <c r="Z242" s="161">
        <v>3242</v>
      </c>
      <c r="AA242" s="116">
        <v>2561</v>
      </c>
      <c r="AB242" s="116">
        <v>0</v>
      </c>
      <c r="AD242" s="161">
        <v>681</v>
      </c>
      <c r="AE242" s="116">
        <v>0</v>
      </c>
      <c r="AF242" s="116">
        <v>-2</v>
      </c>
      <c r="AG242" s="116">
        <v>1</v>
      </c>
      <c r="AH242" s="116">
        <v>0</v>
      </c>
      <c r="AI242" s="160">
        <v>680</v>
      </c>
      <c r="AJ242" s="161">
        <v>3062</v>
      </c>
      <c r="AK242" s="161">
        <v>2679</v>
      </c>
      <c r="AL242" s="150"/>
      <c r="AM242" s="161">
        <v>60</v>
      </c>
      <c r="AN242" s="161">
        <v>-3384</v>
      </c>
      <c r="AO242" s="160">
        <v>-1415</v>
      </c>
      <c r="AQ242" s="160"/>
      <c r="AR242" s="117"/>
      <c r="AS242" s="117"/>
      <c r="AT242" s="99">
        <v>21.5</v>
      </c>
      <c r="AU242" s="130"/>
      <c r="AV242" s="262">
        <v>132</v>
      </c>
      <c r="AW242" s="267">
        <v>6145</v>
      </c>
      <c r="AX242" s="124"/>
      <c r="AY242" s="255">
        <v>0.36585365853658536</v>
      </c>
      <c r="AZ242" s="259">
        <v>56.206076801610301</v>
      </c>
      <c r="BA242" s="160">
        <v>-4654.3531326281536</v>
      </c>
      <c r="BB242" s="130"/>
      <c r="BC242" s="130"/>
      <c r="BD242" s="130"/>
      <c r="BE242" s="128">
        <v>25.597199809077892</v>
      </c>
      <c r="BF242" s="160">
        <v>268.51098454027664</v>
      </c>
      <c r="BG242" s="129">
        <v>10.240081716673943</v>
      </c>
      <c r="BH242" s="131">
        <v>10435.150528885271</v>
      </c>
      <c r="BI242" s="124"/>
      <c r="BJ242" s="117">
        <v>22619</v>
      </c>
      <c r="BK242" s="117">
        <v>56043</v>
      </c>
      <c r="BL242" s="161">
        <v>2</v>
      </c>
      <c r="BM242" s="161">
        <v>-33422</v>
      </c>
      <c r="BN242" s="117">
        <v>29639</v>
      </c>
      <c r="BO242" s="117">
        <v>5371</v>
      </c>
      <c r="BP242" s="136"/>
      <c r="BR242" s="160">
        <v>-244</v>
      </c>
      <c r="BS242" s="160">
        <v>-42</v>
      </c>
      <c r="BT242" s="161">
        <v>1302</v>
      </c>
      <c r="BU242" s="125">
        <v>2863</v>
      </c>
      <c r="BV242" s="160">
        <v>1</v>
      </c>
      <c r="BX242" s="161">
        <v>-1560</v>
      </c>
      <c r="BY242" s="160">
        <v>-1</v>
      </c>
      <c r="BZ242" s="160">
        <v>1</v>
      </c>
      <c r="CA242" s="160">
        <v>-1</v>
      </c>
      <c r="CB242" s="160">
        <v>0</v>
      </c>
      <c r="CC242" s="160">
        <v>-1559</v>
      </c>
      <c r="CD242" s="160">
        <v>1828</v>
      </c>
      <c r="CE242" s="116">
        <v>1200</v>
      </c>
      <c r="CF242" s="150"/>
      <c r="CG242" s="161">
        <v>389</v>
      </c>
      <c r="CH242" s="160">
        <v>-4006</v>
      </c>
      <c r="CI242" s="159">
        <v>-2192</v>
      </c>
      <c r="CK242" s="124"/>
      <c r="CL242" s="161"/>
      <c r="CM242" s="124"/>
      <c r="CN242" s="265">
        <v>21.5</v>
      </c>
      <c r="CO242" s="130"/>
      <c r="CP242" s="116">
        <v>237</v>
      </c>
      <c r="CQ242" s="267">
        <v>6149</v>
      </c>
      <c r="CR242" s="124"/>
      <c r="CS242" s="268">
        <v>1.0525798525798526</v>
      </c>
      <c r="CT242" s="269">
        <v>54.632070066301054</v>
      </c>
      <c r="CU242" s="160">
        <v>-4767.1166043259063</v>
      </c>
      <c r="CV242" s="130"/>
      <c r="CW242" s="130"/>
      <c r="CX242" s="130"/>
      <c r="CY242" s="269">
        <v>28.571126074619912</v>
      </c>
      <c r="CZ242" s="125">
        <v>392.74678809562528</v>
      </c>
      <c r="DA242" s="125">
        <v>13.309300921032765</v>
      </c>
      <c r="DB242" s="273">
        <v>10770.857049926817</v>
      </c>
      <c r="DC242" s="124"/>
      <c r="DD242" s="117">
        <v>23616</v>
      </c>
      <c r="DE242" s="117">
        <v>56789</v>
      </c>
      <c r="DF242" s="117">
        <v>1</v>
      </c>
      <c r="DG242" s="117">
        <v>-33172</v>
      </c>
      <c r="DH242" s="117">
        <v>30275</v>
      </c>
      <c r="DI242" s="117">
        <v>7194</v>
      </c>
      <c r="DJ242" s="136"/>
      <c r="DL242" s="160">
        <v>-199</v>
      </c>
      <c r="DM242" s="160">
        <v>-28</v>
      </c>
      <c r="DN242" s="161">
        <v>4070</v>
      </c>
      <c r="DO242" s="116">
        <v>2768</v>
      </c>
      <c r="DP242" s="160">
        <v>0</v>
      </c>
      <c r="DR242" s="161">
        <v>1302</v>
      </c>
      <c r="DS242" s="116">
        <v>-9</v>
      </c>
      <c r="DT242" s="116">
        <v>0</v>
      </c>
      <c r="DU242" s="116">
        <v>0</v>
      </c>
      <c r="DV242" s="116">
        <v>0</v>
      </c>
      <c r="DW242" s="160">
        <v>1293</v>
      </c>
      <c r="DX242" s="160">
        <v>2884</v>
      </c>
      <c r="DY242" s="116">
        <v>3562</v>
      </c>
      <c r="DZ242" s="150"/>
      <c r="EA242" s="117">
        <v>587</v>
      </c>
      <c r="EB242" s="116">
        <v>-3856</v>
      </c>
      <c r="EC242" s="159">
        <v>-695</v>
      </c>
      <c r="EE242" s="125"/>
      <c r="EF242" s="161"/>
      <c r="EG242" s="124"/>
      <c r="EH242" s="253">
        <v>21.5</v>
      </c>
      <c r="EI242" s="130"/>
      <c r="EJ242" s="125">
        <v>262</v>
      </c>
      <c r="EK242" s="116"/>
      <c r="EL242" s="159"/>
      <c r="EN242" s="116"/>
      <c r="EO242" s="116"/>
      <c r="EP242" s="159"/>
      <c r="EQ242" s="159">
        <v>-4971</v>
      </c>
      <c r="ER242" s="116">
        <v>12</v>
      </c>
      <c r="ES242" s="116">
        <v>865</v>
      </c>
      <c r="ET242" s="160">
        <v>-3743</v>
      </c>
      <c r="EU242" s="116">
        <v>2</v>
      </c>
      <c r="EV242" s="116">
        <v>349</v>
      </c>
      <c r="EW242" s="160">
        <v>-5261</v>
      </c>
      <c r="EX242" s="160">
        <v>69</v>
      </c>
      <c r="EY242" s="160">
        <v>935</v>
      </c>
      <c r="EZ242" s="116">
        <v>4160</v>
      </c>
      <c r="FA242" s="116">
        <v>7</v>
      </c>
      <c r="FB242" s="116">
        <v>2758</v>
      </c>
      <c r="FC242" s="160">
        <v>2518</v>
      </c>
      <c r="FD242" s="116">
        <v>5448</v>
      </c>
      <c r="FE242" s="116">
        <v>-759</v>
      </c>
      <c r="FF242" s="3">
        <v>23616</v>
      </c>
      <c r="FG242" s="3">
        <v>19948</v>
      </c>
      <c r="FH242" s="3">
        <v>3668</v>
      </c>
      <c r="FI242" s="3">
        <v>0</v>
      </c>
      <c r="FJ242" s="125">
        <v>24859</v>
      </c>
      <c r="FK242" s="160">
        <v>18696</v>
      </c>
      <c r="FL242" s="125">
        <v>6163</v>
      </c>
      <c r="FM242" s="116">
        <v>0</v>
      </c>
      <c r="FN242" s="125">
        <v>25673</v>
      </c>
      <c r="FO242" s="116">
        <v>19706</v>
      </c>
      <c r="FP242" s="116">
        <v>5967</v>
      </c>
      <c r="FQ242" s="116">
        <v>587</v>
      </c>
      <c r="FR242" s="153">
        <v>1748</v>
      </c>
      <c r="FS242" s="153">
        <v>1748</v>
      </c>
      <c r="FT242" s="276">
        <v>1635</v>
      </c>
      <c r="FU242" s="3">
        <v>3427</v>
      </c>
      <c r="FV242" s="159">
        <v>2240</v>
      </c>
      <c r="FW242" s="170"/>
      <c r="FZ242" s="155"/>
      <c r="GA242" s="2"/>
      <c r="GD242" s="163"/>
      <c r="GE242" s="2"/>
      <c r="GF242" s="2"/>
    </row>
    <row r="243" spans="1:188" ht="14.5" x14ac:dyDescent="0.35">
      <c r="A243" s="72">
        <v>758</v>
      </c>
      <c r="B243" s="70" t="s">
        <v>232</v>
      </c>
      <c r="C243" s="158">
        <v>8444</v>
      </c>
      <c r="D243" s="171"/>
      <c r="E243" s="128">
        <v>1.6239419588875454</v>
      </c>
      <c r="F243" s="128">
        <v>72.644515672170257</v>
      </c>
      <c r="G243" s="129">
        <v>-6927.996210326859</v>
      </c>
      <c r="H243" s="216"/>
      <c r="I243" s="172"/>
      <c r="J243" s="218"/>
      <c r="K243" s="128">
        <v>42.773002115218894</v>
      </c>
      <c r="L243" s="129">
        <v>1458.7873045949787</v>
      </c>
      <c r="M243" s="129">
        <v>38.958719650624751</v>
      </c>
      <c r="N243" s="129">
        <v>13667.219327333018</v>
      </c>
      <c r="O243" s="129"/>
      <c r="P243" s="117">
        <v>41882</v>
      </c>
      <c r="Q243" s="161">
        <v>100498</v>
      </c>
      <c r="R243" s="161">
        <v>1146</v>
      </c>
      <c r="S243" s="161">
        <v>-57470</v>
      </c>
      <c r="T243" s="124">
        <v>36264</v>
      </c>
      <c r="U243" s="124">
        <v>29178</v>
      </c>
      <c r="V243" s="136"/>
      <c r="X243" s="116">
        <v>-589</v>
      </c>
      <c r="Y243" s="116">
        <v>33</v>
      </c>
      <c r="Z243" s="161">
        <v>7416</v>
      </c>
      <c r="AA243" s="116">
        <v>7597</v>
      </c>
      <c r="AB243" s="116">
        <v>-6</v>
      </c>
      <c r="AD243" s="161">
        <v>-187</v>
      </c>
      <c r="AE243" s="116">
        <v>11</v>
      </c>
      <c r="AF243" s="116">
        <v>88</v>
      </c>
      <c r="AG243" s="116">
        <v>-78</v>
      </c>
      <c r="AH243" s="116">
        <v>-57</v>
      </c>
      <c r="AI243" s="160">
        <v>-223</v>
      </c>
      <c r="AJ243" s="161">
        <v>27473</v>
      </c>
      <c r="AK243" s="161">
        <v>6507</v>
      </c>
      <c r="AL243" s="150"/>
      <c r="AM243" s="161">
        <v>499</v>
      </c>
      <c r="AN243" s="161">
        <v>-4320</v>
      </c>
      <c r="AO243" s="160">
        <v>-2492</v>
      </c>
      <c r="AQ243" s="160"/>
      <c r="AR243" s="117"/>
      <c r="AS243" s="117"/>
      <c r="AT243" s="99">
        <v>20</v>
      </c>
      <c r="AU243" s="130"/>
      <c r="AV243" s="262">
        <v>35</v>
      </c>
      <c r="AW243" s="267">
        <v>8303</v>
      </c>
      <c r="AX243" s="124"/>
      <c r="AY243" s="255">
        <v>0.71364185995383089</v>
      </c>
      <c r="AZ243" s="259">
        <v>71.653594227802259</v>
      </c>
      <c r="BA243" s="160">
        <v>-7214.5007828495727</v>
      </c>
      <c r="BB243" s="130"/>
      <c r="BC243" s="130"/>
      <c r="BD243" s="130"/>
      <c r="BE243" s="128">
        <v>41.974193266351428</v>
      </c>
      <c r="BF243" s="160">
        <v>1435.2643622786945</v>
      </c>
      <c r="BG243" s="129">
        <v>37.433871464610725</v>
      </c>
      <c r="BH243" s="131">
        <v>14465.494399614598</v>
      </c>
      <c r="BI243" s="124"/>
      <c r="BJ243" s="117">
        <v>42056</v>
      </c>
      <c r="BK243" s="117">
        <v>103195</v>
      </c>
      <c r="BL243" s="161">
        <v>1338</v>
      </c>
      <c r="BM243" s="161">
        <v>-59801</v>
      </c>
      <c r="BN243" s="117">
        <v>37261</v>
      </c>
      <c r="BO243" s="117">
        <v>28926</v>
      </c>
      <c r="BP243" s="136"/>
      <c r="BR243" s="160">
        <v>-559</v>
      </c>
      <c r="BS243" s="160">
        <v>88</v>
      </c>
      <c r="BT243" s="161">
        <v>5915</v>
      </c>
      <c r="BU243" s="125">
        <v>8134</v>
      </c>
      <c r="BV243" s="160">
        <v>0</v>
      </c>
      <c r="BX243" s="161">
        <v>-2219</v>
      </c>
      <c r="BY243" s="160">
        <v>0</v>
      </c>
      <c r="BZ243" s="161">
        <v>17</v>
      </c>
      <c r="CA243" s="160">
        <v>62</v>
      </c>
      <c r="CB243" s="160">
        <v>-165</v>
      </c>
      <c r="CC243" s="160">
        <v>-2429</v>
      </c>
      <c r="CD243" s="160">
        <v>25044</v>
      </c>
      <c r="CE243" s="116">
        <v>4700</v>
      </c>
      <c r="CF243" s="150"/>
      <c r="CG243" s="161">
        <v>1405</v>
      </c>
      <c r="CH243" s="160">
        <v>-8520</v>
      </c>
      <c r="CI243" s="159">
        <v>-1643</v>
      </c>
      <c r="CK243" s="124"/>
      <c r="CL243" s="161"/>
      <c r="CM243" s="124"/>
      <c r="CN243" s="265">
        <v>20</v>
      </c>
      <c r="CO243" s="130"/>
      <c r="CP243" s="116">
        <v>53</v>
      </c>
      <c r="CQ243" s="267">
        <v>8266</v>
      </c>
      <c r="CR243" s="124"/>
      <c r="CS243" s="268">
        <v>2.8607934238741959</v>
      </c>
      <c r="CT243" s="269">
        <v>67.728267047901198</v>
      </c>
      <c r="CU243" s="160">
        <v>-6315.5093152673599</v>
      </c>
      <c r="CV243" s="130"/>
      <c r="CW243" s="130"/>
      <c r="CX243" s="130"/>
      <c r="CY243" s="269">
        <v>44.812274294015666</v>
      </c>
      <c r="CZ243" s="125">
        <v>2371.4009194289861</v>
      </c>
      <c r="DA243" s="125">
        <v>61.804446978335235</v>
      </c>
      <c r="DB243" s="273">
        <v>14004.839099927414</v>
      </c>
      <c r="DC243" s="124"/>
      <c r="DD243" s="117">
        <v>40862</v>
      </c>
      <c r="DE243" s="117">
        <v>102066</v>
      </c>
      <c r="DF243" s="117">
        <v>1113</v>
      </c>
      <c r="DG243" s="117">
        <v>-60091</v>
      </c>
      <c r="DH243" s="117">
        <v>41069</v>
      </c>
      <c r="DI243" s="117">
        <v>34183</v>
      </c>
      <c r="DJ243" s="136"/>
      <c r="DL243" s="160">
        <v>-386</v>
      </c>
      <c r="DM243" s="160">
        <v>669</v>
      </c>
      <c r="DN243" s="161">
        <v>15444</v>
      </c>
      <c r="DO243" s="116">
        <v>7531</v>
      </c>
      <c r="DP243" s="160">
        <v>22</v>
      </c>
      <c r="DR243" s="161">
        <v>7935</v>
      </c>
      <c r="DS243" s="116">
        <v>22</v>
      </c>
      <c r="DT243" s="117">
        <v>-1525</v>
      </c>
      <c r="DU243" s="116">
        <v>5</v>
      </c>
      <c r="DV243" s="116">
        <v>-130</v>
      </c>
      <c r="DW243" s="160">
        <v>6297</v>
      </c>
      <c r="DX243" s="160">
        <v>31490</v>
      </c>
      <c r="DY243" s="116">
        <v>14472</v>
      </c>
      <c r="DZ243" s="150"/>
      <c r="EA243" s="117">
        <v>-1095</v>
      </c>
      <c r="EB243" s="116">
        <v>-5031</v>
      </c>
      <c r="EC243" s="159">
        <v>8232</v>
      </c>
      <c r="EE243" s="125"/>
      <c r="EF243" s="161"/>
      <c r="EG243" s="124"/>
      <c r="EH243" s="253">
        <v>21</v>
      </c>
      <c r="EI243" s="130"/>
      <c r="EJ243" s="125">
        <v>8</v>
      </c>
      <c r="EK243" s="116"/>
      <c r="EL243" s="159"/>
      <c r="EN243" s="116"/>
      <c r="EO243" s="116"/>
      <c r="EP243" s="159"/>
      <c r="EQ243" s="159">
        <v>-9608</v>
      </c>
      <c r="ER243" s="116">
        <v>56</v>
      </c>
      <c r="ES243" s="116">
        <v>553</v>
      </c>
      <c r="ET243" s="160">
        <v>-7526</v>
      </c>
      <c r="EU243" s="116">
        <v>198</v>
      </c>
      <c r="EV243" s="116">
        <v>985</v>
      </c>
      <c r="EW243" s="160">
        <v>-7880</v>
      </c>
      <c r="EX243" s="160">
        <v>188</v>
      </c>
      <c r="EY243" s="160">
        <v>1452</v>
      </c>
      <c r="EZ243" s="116">
        <v>8120</v>
      </c>
      <c r="FA243" s="116">
        <v>-1023</v>
      </c>
      <c r="FB243" s="116">
        <v>5787</v>
      </c>
      <c r="FC243" s="160">
        <v>4757</v>
      </c>
      <c r="FD243" s="116">
        <v>6509</v>
      </c>
      <c r="FE243" s="116">
        <v>-2670</v>
      </c>
      <c r="FF243" s="3">
        <v>57738</v>
      </c>
      <c r="FG243" s="3">
        <v>52290</v>
      </c>
      <c r="FH243" s="3">
        <v>5448</v>
      </c>
      <c r="FI243" s="3">
        <v>970</v>
      </c>
      <c r="FJ243" s="125">
        <v>59762</v>
      </c>
      <c r="FK243" s="160">
        <v>52398</v>
      </c>
      <c r="FL243" s="125">
        <v>7364</v>
      </c>
      <c r="FM243" s="116">
        <v>1010</v>
      </c>
      <c r="FN243" s="125">
        <v>58569</v>
      </c>
      <c r="FO243" s="116">
        <v>52748</v>
      </c>
      <c r="FP243" s="116">
        <v>5821</v>
      </c>
      <c r="FQ243" s="116">
        <v>-1095</v>
      </c>
      <c r="FR243" s="153">
        <v>2994</v>
      </c>
      <c r="FS243" s="153">
        <v>4815</v>
      </c>
      <c r="FT243" s="276">
        <v>2970</v>
      </c>
      <c r="FU243" s="3">
        <v>27868</v>
      </c>
      <c r="FV243" s="159">
        <v>28031</v>
      </c>
      <c r="FW243" s="170"/>
      <c r="FZ243" s="155"/>
      <c r="GA243" s="2"/>
      <c r="GD243" s="163"/>
      <c r="GE243" s="2"/>
      <c r="GF243" s="2"/>
    </row>
    <row r="244" spans="1:188" ht="14.5" x14ac:dyDescent="0.35">
      <c r="A244" s="72">
        <v>759</v>
      </c>
      <c r="B244" s="70" t="s">
        <v>233</v>
      </c>
      <c r="C244" s="158">
        <v>2085</v>
      </c>
      <c r="D244" s="171"/>
      <c r="E244" s="128">
        <v>0.84798231066887786</v>
      </c>
      <c r="F244" s="128">
        <v>54.527294644394694</v>
      </c>
      <c r="G244" s="129">
        <v>-6252.2781774580335</v>
      </c>
      <c r="H244" s="216"/>
      <c r="I244" s="172"/>
      <c r="J244" s="218"/>
      <c r="K244" s="128">
        <v>34.186362184605557</v>
      </c>
      <c r="L244" s="129">
        <v>560.1918465227817</v>
      </c>
      <c r="M244" s="129">
        <v>13.307944435773372</v>
      </c>
      <c r="N244" s="129">
        <v>15364.50839328537</v>
      </c>
      <c r="O244" s="129"/>
      <c r="P244" s="117">
        <v>15118</v>
      </c>
      <c r="Q244" s="161">
        <v>27571</v>
      </c>
      <c r="R244" s="161">
        <v>-10</v>
      </c>
      <c r="S244" s="161">
        <v>-12463</v>
      </c>
      <c r="T244" s="124">
        <v>5796</v>
      </c>
      <c r="U244" s="124">
        <v>8121</v>
      </c>
      <c r="V244" s="136"/>
      <c r="X244" s="116">
        <v>-142</v>
      </c>
      <c r="Y244" s="116">
        <v>68</v>
      </c>
      <c r="Z244" s="161">
        <v>1380</v>
      </c>
      <c r="AA244" s="116">
        <v>1026</v>
      </c>
      <c r="AB244" s="117">
        <v>0</v>
      </c>
      <c r="AD244" s="161">
        <v>354</v>
      </c>
      <c r="AE244" s="116">
        <v>6</v>
      </c>
      <c r="AF244" s="116">
        <v>4</v>
      </c>
      <c r="AG244" s="116">
        <v>0</v>
      </c>
      <c r="AH244" s="116">
        <v>-1</v>
      </c>
      <c r="AI244" s="160">
        <v>363</v>
      </c>
      <c r="AJ244" s="161">
        <v>1821</v>
      </c>
      <c r="AK244" s="161">
        <v>1342</v>
      </c>
      <c r="AL244" s="150"/>
      <c r="AM244" s="161">
        <v>220</v>
      </c>
      <c r="AN244" s="161">
        <v>-1655</v>
      </c>
      <c r="AO244" s="160">
        <v>-483</v>
      </c>
      <c r="AQ244" s="160"/>
      <c r="AR244" s="117"/>
      <c r="AS244" s="117"/>
      <c r="AT244" s="99">
        <v>21.75</v>
      </c>
      <c r="AU244" s="130"/>
      <c r="AV244" s="262">
        <v>89</v>
      </c>
      <c r="AW244" s="267">
        <v>2052</v>
      </c>
      <c r="AX244" s="124"/>
      <c r="AY244" s="255">
        <v>0.57207461842849072</v>
      </c>
      <c r="AZ244" s="259">
        <v>55.764779048474587</v>
      </c>
      <c r="BA244" s="160">
        <v>-5447.3684210526317</v>
      </c>
      <c r="BB244" s="130"/>
      <c r="BC244" s="130"/>
      <c r="BD244" s="130"/>
      <c r="BE244" s="128">
        <v>38.808844772028593</v>
      </c>
      <c r="BF244" s="160">
        <v>715.88693957115015</v>
      </c>
      <c r="BG244" s="129">
        <v>13.6875</v>
      </c>
      <c r="BH244" s="131">
        <v>15165.69200779727</v>
      </c>
      <c r="BI244" s="124"/>
      <c r="BJ244" s="117">
        <v>15090</v>
      </c>
      <c r="BK244" s="117">
        <v>28009</v>
      </c>
      <c r="BL244" s="161">
        <v>-7</v>
      </c>
      <c r="BM244" s="161">
        <v>-12926</v>
      </c>
      <c r="BN244" s="117">
        <v>6157</v>
      </c>
      <c r="BO244" s="117">
        <v>7696</v>
      </c>
      <c r="BP244" s="136"/>
      <c r="BR244" s="160">
        <v>-117</v>
      </c>
      <c r="BS244" s="160">
        <v>77</v>
      </c>
      <c r="BT244" s="161">
        <v>887</v>
      </c>
      <c r="BU244" s="125">
        <v>1124</v>
      </c>
      <c r="BV244" s="161">
        <v>1929</v>
      </c>
      <c r="BX244" s="161">
        <v>1692</v>
      </c>
      <c r="BY244" s="160">
        <v>13</v>
      </c>
      <c r="BZ244" s="160">
        <v>0</v>
      </c>
      <c r="CA244" s="160">
        <v>0</v>
      </c>
      <c r="CB244" s="160">
        <v>3</v>
      </c>
      <c r="CC244" s="160">
        <v>1708</v>
      </c>
      <c r="CD244" s="160">
        <v>3563</v>
      </c>
      <c r="CE244" s="116">
        <v>2803</v>
      </c>
      <c r="CF244" s="150"/>
      <c r="CG244" s="160">
        <v>-1880</v>
      </c>
      <c r="CH244" s="160">
        <v>-1644</v>
      </c>
      <c r="CI244" s="159">
        <v>1662</v>
      </c>
      <c r="CK244" s="124"/>
      <c r="CL244" s="161"/>
      <c r="CM244" s="124"/>
      <c r="CN244" s="265">
        <v>21.75</v>
      </c>
      <c r="CO244" s="130"/>
      <c r="CP244" s="116">
        <v>152</v>
      </c>
      <c r="CQ244" s="267">
        <v>2007</v>
      </c>
      <c r="CR244" s="124"/>
      <c r="CS244" s="268">
        <v>0.7074494326591021</v>
      </c>
      <c r="CT244" s="269">
        <v>51.73411376862785</v>
      </c>
      <c r="CU244" s="160">
        <v>-5924.7633283507721</v>
      </c>
      <c r="CV244" s="130"/>
      <c r="CW244" s="130"/>
      <c r="CX244" s="130"/>
      <c r="CY244" s="269">
        <v>40.546290316453295</v>
      </c>
      <c r="CZ244" s="125">
        <v>767.31439960139517</v>
      </c>
      <c r="DA244" s="125">
        <v>17.044179629461173</v>
      </c>
      <c r="DB244" s="273">
        <v>16431.98804185351</v>
      </c>
      <c r="DC244" s="124"/>
      <c r="DD244" s="117">
        <v>15284</v>
      </c>
      <c r="DE244" s="117">
        <v>28350</v>
      </c>
      <c r="DF244" s="117">
        <v>-1</v>
      </c>
      <c r="DG244" s="117">
        <v>-13067</v>
      </c>
      <c r="DH244" s="117">
        <v>6258</v>
      </c>
      <c r="DI244" s="117">
        <v>8185</v>
      </c>
      <c r="DJ244" s="136"/>
      <c r="DL244" s="160">
        <v>-95</v>
      </c>
      <c r="DM244" s="160">
        <v>47</v>
      </c>
      <c r="DN244" s="161">
        <v>1328</v>
      </c>
      <c r="DO244" s="116">
        <v>1147</v>
      </c>
      <c r="DP244" s="161">
        <v>0</v>
      </c>
      <c r="DR244" s="161">
        <v>181</v>
      </c>
      <c r="DS244" s="116">
        <v>6</v>
      </c>
      <c r="DT244" s="116">
        <v>0</v>
      </c>
      <c r="DU244" s="116">
        <v>0</v>
      </c>
      <c r="DV244" s="116">
        <v>-2</v>
      </c>
      <c r="DW244" s="160">
        <v>185</v>
      </c>
      <c r="DX244" s="160">
        <v>3736</v>
      </c>
      <c r="DY244" s="116">
        <v>1249</v>
      </c>
      <c r="DZ244" s="150"/>
      <c r="EA244" s="116">
        <v>1777</v>
      </c>
      <c r="EB244" s="116">
        <v>-1921</v>
      </c>
      <c r="EC244" s="159">
        <v>-662</v>
      </c>
      <c r="EE244" s="125"/>
      <c r="EF244" s="161"/>
      <c r="EG244" s="124"/>
      <c r="EH244" s="253">
        <v>21.75</v>
      </c>
      <c r="EI244" s="130"/>
      <c r="EJ244" s="125">
        <v>263</v>
      </c>
      <c r="EK244" s="116"/>
      <c r="EL244" s="159"/>
      <c r="EN244" s="116"/>
      <c r="EO244" s="116"/>
      <c r="EP244" s="159"/>
      <c r="EQ244" s="159">
        <v>-2483</v>
      </c>
      <c r="ER244" s="116">
        <v>1</v>
      </c>
      <c r="ES244" s="116">
        <v>657</v>
      </c>
      <c r="ET244" s="160">
        <v>-1247</v>
      </c>
      <c r="EU244" s="116">
        <v>44</v>
      </c>
      <c r="EV244" s="116">
        <v>62</v>
      </c>
      <c r="EW244" s="160">
        <v>-2440</v>
      </c>
      <c r="EX244" s="160">
        <v>446</v>
      </c>
      <c r="EY244" s="160">
        <v>83</v>
      </c>
      <c r="EZ244" s="116">
        <v>3760</v>
      </c>
      <c r="FA244" s="116">
        <v>-2910</v>
      </c>
      <c r="FB244" s="116">
        <v>2122</v>
      </c>
      <c r="FC244" s="160">
        <v>-100</v>
      </c>
      <c r="FD244" s="116">
        <v>977</v>
      </c>
      <c r="FE244" s="116">
        <v>-200</v>
      </c>
      <c r="FF244" s="3">
        <v>13057</v>
      </c>
      <c r="FG244" s="3">
        <v>9944</v>
      </c>
      <c r="FH244" s="3">
        <v>3113</v>
      </c>
      <c r="FI244" s="3">
        <v>653</v>
      </c>
      <c r="FJ244" s="125">
        <v>13235</v>
      </c>
      <c r="FK244" s="160">
        <v>10108</v>
      </c>
      <c r="FL244" s="125">
        <v>3127</v>
      </c>
      <c r="FM244" s="116">
        <v>353</v>
      </c>
      <c r="FN244" s="125">
        <v>12104</v>
      </c>
      <c r="FO244" s="116">
        <v>9502</v>
      </c>
      <c r="FP244" s="116">
        <v>2602</v>
      </c>
      <c r="FQ244" s="116">
        <v>1777</v>
      </c>
      <c r="FR244" s="153">
        <v>460</v>
      </c>
      <c r="FS244" s="153">
        <v>1294</v>
      </c>
      <c r="FT244" s="276">
        <v>1977</v>
      </c>
      <c r="FU244" s="3">
        <v>495</v>
      </c>
      <c r="FV244" s="159">
        <v>538</v>
      </c>
      <c r="FW244" s="170"/>
      <c r="FZ244" s="155"/>
      <c r="GA244" s="2"/>
      <c r="GD244" s="163"/>
      <c r="GE244" s="2"/>
      <c r="GF244" s="2"/>
    </row>
    <row r="245" spans="1:188" ht="14.5" x14ac:dyDescent="0.35">
      <c r="A245" s="72">
        <v>761</v>
      </c>
      <c r="B245" s="70" t="s">
        <v>234</v>
      </c>
      <c r="C245" s="158">
        <v>8828</v>
      </c>
      <c r="D245" s="171"/>
      <c r="E245" s="128">
        <v>1.5146615511098931</v>
      </c>
      <c r="F245" s="128">
        <v>53.16468625514964</v>
      </c>
      <c r="G245" s="129">
        <v>-3420.7068418667873</v>
      </c>
      <c r="H245" s="216"/>
      <c r="I245" s="172"/>
      <c r="J245" s="218"/>
      <c r="K245" s="128">
        <v>56.563885108016613</v>
      </c>
      <c r="L245" s="129">
        <v>1173.8785681921161</v>
      </c>
      <c r="M245" s="129">
        <v>40.409976175977263</v>
      </c>
      <c r="N245" s="129">
        <v>10602.967829632986</v>
      </c>
      <c r="O245" s="129"/>
      <c r="P245" s="117">
        <v>34283</v>
      </c>
      <c r="Q245" s="161">
        <v>82675</v>
      </c>
      <c r="R245" s="161">
        <v>2</v>
      </c>
      <c r="S245" s="161">
        <v>-48390</v>
      </c>
      <c r="T245" s="124">
        <v>26644</v>
      </c>
      <c r="U245" s="124">
        <v>27186</v>
      </c>
      <c r="V245" s="136"/>
      <c r="X245" s="116">
        <v>-243</v>
      </c>
      <c r="Y245" s="116">
        <v>81</v>
      </c>
      <c r="Z245" s="161">
        <v>5278</v>
      </c>
      <c r="AA245" s="116">
        <v>5758</v>
      </c>
      <c r="AB245" s="117">
        <v>71</v>
      </c>
      <c r="AD245" s="161">
        <v>-409</v>
      </c>
      <c r="AE245" s="117">
        <v>-12</v>
      </c>
      <c r="AF245" s="117">
        <v>0</v>
      </c>
      <c r="AG245" s="116">
        <v>-110</v>
      </c>
      <c r="AH245" s="117">
        <v>16</v>
      </c>
      <c r="AI245" s="160">
        <v>-515</v>
      </c>
      <c r="AJ245" s="161">
        <v>33761</v>
      </c>
      <c r="AK245" s="161">
        <v>5186</v>
      </c>
      <c r="AL245" s="150"/>
      <c r="AM245" s="161">
        <v>-946</v>
      </c>
      <c r="AN245" s="161">
        <v>-3400</v>
      </c>
      <c r="AO245" s="160">
        <v>-1391</v>
      </c>
      <c r="AQ245" s="160"/>
      <c r="AR245" s="117"/>
      <c r="AS245" s="117"/>
      <c r="AT245" s="99">
        <v>20</v>
      </c>
      <c r="AU245" s="130"/>
      <c r="AV245" s="262">
        <v>114</v>
      </c>
      <c r="AW245" s="267">
        <v>8711</v>
      </c>
      <c r="AX245" s="124"/>
      <c r="AY245" s="255">
        <v>1.1413478012564249</v>
      </c>
      <c r="AZ245" s="259">
        <v>50.588777794023372</v>
      </c>
      <c r="BA245" s="160">
        <v>-3474.2279876018829</v>
      </c>
      <c r="BB245" s="130"/>
      <c r="BC245" s="130"/>
      <c r="BD245" s="130"/>
      <c r="BE245" s="128">
        <v>56.929421553376983</v>
      </c>
      <c r="BF245" s="160">
        <v>894.73080013775689</v>
      </c>
      <c r="BG245" s="129">
        <v>40.782495220501367</v>
      </c>
      <c r="BH245" s="131">
        <v>10688.325106187578</v>
      </c>
      <c r="BI245" s="124"/>
      <c r="BJ245" s="117">
        <v>33877</v>
      </c>
      <c r="BK245" s="117">
        <v>85059</v>
      </c>
      <c r="BL245" s="161">
        <v>17</v>
      </c>
      <c r="BM245" s="161">
        <v>-51165</v>
      </c>
      <c r="BN245" s="117">
        <v>27442</v>
      </c>
      <c r="BO245" s="117">
        <v>27594</v>
      </c>
      <c r="BP245" s="136"/>
      <c r="BR245" s="160">
        <v>-225</v>
      </c>
      <c r="BS245" s="160">
        <v>120</v>
      </c>
      <c r="BT245" s="161">
        <v>3766</v>
      </c>
      <c r="BU245" s="125">
        <v>5709</v>
      </c>
      <c r="BV245" s="161">
        <v>22</v>
      </c>
      <c r="BW245" s="117"/>
      <c r="BX245" s="161">
        <v>-1921</v>
      </c>
      <c r="BY245" s="161">
        <v>4</v>
      </c>
      <c r="BZ245" s="160">
        <v>0</v>
      </c>
      <c r="CA245" s="161">
        <v>106</v>
      </c>
      <c r="CB245" s="161">
        <v>8</v>
      </c>
      <c r="CC245" s="160">
        <v>-2015</v>
      </c>
      <c r="CD245" s="160">
        <v>31759</v>
      </c>
      <c r="CE245" s="116">
        <v>3660</v>
      </c>
      <c r="CF245" s="150"/>
      <c r="CG245" s="161">
        <v>-457</v>
      </c>
      <c r="CH245" s="160">
        <v>-3271</v>
      </c>
      <c r="CI245" s="159">
        <v>-85</v>
      </c>
      <c r="CK245" s="124"/>
      <c r="CL245" s="161"/>
      <c r="CM245" s="124"/>
      <c r="CN245" s="265">
        <v>20</v>
      </c>
      <c r="CO245" s="130"/>
      <c r="CP245" s="116">
        <v>151</v>
      </c>
      <c r="CQ245" s="267">
        <v>8646</v>
      </c>
      <c r="CR245" s="124"/>
      <c r="CS245" s="268">
        <v>2.0549374130737137</v>
      </c>
      <c r="CT245" s="269">
        <v>42.427003432639744</v>
      </c>
      <c r="CU245" s="160">
        <v>-2680.8928984501504</v>
      </c>
      <c r="CV245" s="130"/>
      <c r="CW245" s="130"/>
      <c r="CX245" s="130"/>
      <c r="CY245" s="269">
        <v>60.836323919488223</v>
      </c>
      <c r="CZ245" s="125">
        <v>1228.082350219755</v>
      </c>
      <c r="DA245" s="125">
        <v>42.332361197583857</v>
      </c>
      <c r="DB245" s="273">
        <v>10588.82720333102</v>
      </c>
      <c r="DC245" s="124"/>
      <c r="DD245" s="117">
        <v>34100</v>
      </c>
      <c r="DE245" s="117">
        <v>85598</v>
      </c>
      <c r="DF245" s="117">
        <v>22</v>
      </c>
      <c r="DG245" s="117">
        <v>-51476</v>
      </c>
      <c r="DH245" s="117">
        <v>28864</v>
      </c>
      <c r="DI245" s="117">
        <v>31424</v>
      </c>
      <c r="DJ245" s="136"/>
      <c r="DL245" s="160">
        <v>-171</v>
      </c>
      <c r="DM245" s="160">
        <v>21</v>
      </c>
      <c r="DN245" s="161">
        <v>8662</v>
      </c>
      <c r="DO245" s="116">
        <v>5621</v>
      </c>
      <c r="DP245" s="161">
        <v>0</v>
      </c>
      <c r="DQ245" s="117"/>
      <c r="DR245" s="161">
        <v>3041</v>
      </c>
      <c r="DS245" s="117">
        <v>-7</v>
      </c>
      <c r="DT245" s="116">
        <v>0</v>
      </c>
      <c r="DU245" s="117">
        <v>60</v>
      </c>
      <c r="DV245" s="117">
        <v>68</v>
      </c>
      <c r="DW245" s="160">
        <v>3042</v>
      </c>
      <c r="DX245" s="160">
        <v>35074</v>
      </c>
      <c r="DY245" s="116">
        <v>8604</v>
      </c>
      <c r="DZ245" s="150"/>
      <c r="EA245" s="117">
        <v>684</v>
      </c>
      <c r="EB245" s="116">
        <v>-4111</v>
      </c>
      <c r="EC245" s="159">
        <v>7155</v>
      </c>
      <c r="EE245" s="125"/>
      <c r="EF245" s="161"/>
      <c r="EG245" s="124"/>
      <c r="EH245" s="253">
        <v>20.5</v>
      </c>
      <c r="EI245" s="130"/>
      <c r="EJ245" s="125">
        <v>130</v>
      </c>
      <c r="EK245" s="116"/>
      <c r="EL245" s="159"/>
      <c r="EN245" s="116"/>
      <c r="EO245" s="116"/>
      <c r="EP245" s="159"/>
      <c r="EQ245" s="159">
        <v>-7051</v>
      </c>
      <c r="ER245" s="116">
        <v>349</v>
      </c>
      <c r="ES245" s="116">
        <v>125</v>
      </c>
      <c r="ET245" s="160">
        <v>-4503</v>
      </c>
      <c r="EU245" s="116">
        <v>424</v>
      </c>
      <c r="EV245" s="116">
        <v>334</v>
      </c>
      <c r="EW245" s="160">
        <v>-1617</v>
      </c>
      <c r="EX245" s="160">
        <v>74</v>
      </c>
      <c r="EY245" s="160">
        <v>94</v>
      </c>
      <c r="EZ245" s="116">
        <v>5550</v>
      </c>
      <c r="FA245" s="116">
        <v>981</v>
      </c>
      <c r="FB245" s="116">
        <v>26</v>
      </c>
      <c r="FC245" s="160">
        <v>1022</v>
      </c>
      <c r="FD245" s="116">
        <v>173</v>
      </c>
      <c r="FE245" s="116">
        <v>-1361</v>
      </c>
      <c r="FF245" s="3">
        <v>34085</v>
      </c>
      <c r="FG245" s="3">
        <v>30105</v>
      </c>
      <c r="FH245" s="3">
        <v>3980</v>
      </c>
      <c r="FI245" s="3">
        <v>717</v>
      </c>
      <c r="FJ245" s="125">
        <v>31887</v>
      </c>
      <c r="FK245" s="160">
        <v>26598</v>
      </c>
      <c r="FL245" s="125">
        <v>5289</v>
      </c>
      <c r="FM245" s="116">
        <v>746</v>
      </c>
      <c r="FN245" s="125">
        <v>26576</v>
      </c>
      <c r="FO245" s="116">
        <v>22659</v>
      </c>
      <c r="FP245" s="116">
        <v>3917</v>
      </c>
      <c r="FQ245" s="116">
        <v>684</v>
      </c>
      <c r="FR245" s="153">
        <v>522</v>
      </c>
      <c r="FS245" s="153">
        <v>450</v>
      </c>
      <c r="FT245" s="276">
        <v>442</v>
      </c>
      <c r="FU245" s="3">
        <v>4098</v>
      </c>
      <c r="FV245" s="159">
        <v>4449</v>
      </c>
      <c r="FW245" s="170"/>
      <c r="FZ245" s="155"/>
      <c r="GA245" s="2"/>
      <c r="GD245" s="163"/>
      <c r="GE245" s="2"/>
      <c r="GF245" s="2"/>
    </row>
    <row r="246" spans="1:188" ht="14.5" x14ac:dyDescent="0.35">
      <c r="A246" s="72">
        <v>762</v>
      </c>
      <c r="B246" s="70" t="s">
        <v>235</v>
      </c>
      <c r="C246" s="158">
        <v>3967</v>
      </c>
      <c r="D246" s="171"/>
      <c r="E246" s="128">
        <v>1.4276663146779303</v>
      </c>
      <c r="F246" s="128">
        <v>49.373297002724797</v>
      </c>
      <c r="G246" s="129">
        <v>-5438.1144441643555</v>
      </c>
      <c r="H246" s="216"/>
      <c r="I246" s="172"/>
      <c r="J246" s="218"/>
      <c r="K246" s="128">
        <v>30.797214178014983</v>
      </c>
      <c r="L246" s="129">
        <v>1086.4633224098814</v>
      </c>
      <c r="M246" s="129">
        <v>26.125550112098313</v>
      </c>
      <c r="N246" s="129">
        <v>15178.976556591882</v>
      </c>
      <c r="O246" s="129"/>
      <c r="P246" s="117">
        <v>27744</v>
      </c>
      <c r="Q246" s="161">
        <v>54609</v>
      </c>
      <c r="R246" s="161">
        <v>25</v>
      </c>
      <c r="S246" s="161">
        <v>-26840</v>
      </c>
      <c r="T246" s="124">
        <v>12173</v>
      </c>
      <c r="U246" s="124">
        <v>16968</v>
      </c>
      <c r="V246" s="136"/>
      <c r="X246" s="116">
        <v>-147</v>
      </c>
      <c r="Y246" s="116">
        <v>400</v>
      </c>
      <c r="Z246" s="161">
        <v>2554</v>
      </c>
      <c r="AA246" s="116">
        <v>2622</v>
      </c>
      <c r="AB246" s="116">
        <v>392</v>
      </c>
      <c r="AD246" s="161">
        <v>324</v>
      </c>
      <c r="AE246" s="116">
        <v>-7</v>
      </c>
      <c r="AF246" s="116">
        <v>5</v>
      </c>
      <c r="AG246" s="116">
        <v>-1</v>
      </c>
      <c r="AH246" s="116">
        <v>-8</v>
      </c>
      <c r="AI246" s="160">
        <v>313</v>
      </c>
      <c r="AJ246" s="161">
        <v>1477</v>
      </c>
      <c r="AK246" s="161">
        <v>2528</v>
      </c>
      <c r="AL246" s="150"/>
      <c r="AM246" s="161">
        <v>337</v>
      </c>
      <c r="AN246" s="161">
        <v>-1744</v>
      </c>
      <c r="AO246" s="160">
        <v>-625</v>
      </c>
      <c r="AQ246" s="160"/>
      <c r="AR246" s="117"/>
      <c r="AS246" s="117"/>
      <c r="AT246" s="99">
        <v>20.5</v>
      </c>
      <c r="AU246" s="130"/>
      <c r="AV246" s="262">
        <v>94</v>
      </c>
      <c r="AW246" s="267">
        <v>3897</v>
      </c>
      <c r="AX246" s="124"/>
      <c r="AY246" s="255">
        <v>1.773972602739726</v>
      </c>
      <c r="AZ246" s="259">
        <v>48.576118887160881</v>
      </c>
      <c r="BA246" s="160">
        <v>-5723.8901719271234</v>
      </c>
      <c r="BB246" s="130"/>
      <c r="BC246" s="130"/>
      <c r="BD246" s="130"/>
      <c r="BE246" s="128">
        <v>32.100396301188901</v>
      </c>
      <c r="BF246" s="160">
        <v>789.32512188863222</v>
      </c>
      <c r="BG246" s="129">
        <v>25.843573399921148</v>
      </c>
      <c r="BH246" s="131">
        <v>15620.220682576341</v>
      </c>
      <c r="BI246" s="124"/>
      <c r="BJ246" s="117">
        <v>28541</v>
      </c>
      <c r="BK246" s="117">
        <v>54902</v>
      </c>
      <c r="BL246" s="161">
        <v>20</v>
      </c>
      <c r="BM246" s="161">
        <v>-26341</v>
      </c>
      <c r="BN246" s="117">
        <v>12675</v>
      </c>
      <c r="BO246" s="117">
        <v>16654</v>
      </c>
      <c r="BP246" s="136"/>
      <c r="BR246" s="160">
        <v>-147</v>
      </c>
      <c r="BS246" s="160">
        <v>374</v>
      </c>
      <c r="BT246" s="161">
        <v>3215</v>
      </c>
      <c r="BU246" s="125">
        <v>2558</v>
      </c>
      <c r="BV246" s="160">
        <v>0</v>
      </c>
      <c r="BX246" s="161">
        <v>657</v>
      </c>
      <c r="BY246" s="160">
        <v>-9</v>
      </c>
      <c r="BZ246" s="160">
        <v>3</v>
      </c>
      <c r="CA246" s="160">
        <v>4</v>
      </c>
      <c r="CB246" s="160">
        <v>-9</v>
      </c>
      <c r="CC246" s="160">
        <v>638</v>
      </c>
      <c r="CD246" s="160">
        <v>2096</v>
      </c>
      <c r="CE246" s="116">
        <v>3193</v>
      </c>
      <c r="CF246" s="150"/>
      <c r="CG246" s="160">
        <v>-528</v>
      </c>
      <c r="CH246" s="160">
        <v>-1746</v>
      </c>
      <c r="CI246" s="159">
        <v>-653</v>
      </c>
      <c r="CK246" s="124"/>
      <c r="CL246" s="161"/>
      <c r="CM246" s="124"/>
      <c r="CN246" s="265">
        <v>20.5</v>
      </c>
      <c r="CO246" s="130"/>
      <c r="CP246" s="116">
        <v>36</v>
      </c>
      <c r="CQ246" s="267">
        <v>3841</v>
      </c>
      <c r="CR246" s="124"/>
      <c r="CS246" s="268">
        <v>3.2230106436898125</v>
      </c>
      <c r="CT246" s="269">
        <v>43.571522785728419</v>
      </c>
      <c r="CU246" s="160">
        <v>-4984.1187190835717</v>
      </c>
      <c r="CV246" s="130"/>
      <c r="CW246" s="130"/>
      <c r="CX246" s="130"/>
      <c r="CY246" s="269">
        <v>38.348877218399132</v>
      </c>
      <c r="CZ246" s="125">
        <v>1220.7758396250977</v>
      </c>
      <c r="DA246" s="125">
        <v>28.54854045037531</v>
      </c>
      <c r="DB246" s="273">
        <v>15607.914605571466</v>
      </c>
      <c r="DC246" s="124"/>
      <c r="DD246" s="117">
        <v>28783</v>
      </c>
      <c r="DE246" s="117">
        <v>54718</v>
      </c>
      <c r="DF246" s="117">
        <v>29</v>
      </c>
      <c r="DG246" s="117">
        <v>-25906</v>
      </c>
      <c r="DH246" s="117">
        <v>13821</v>
      </c>
      <c r="DI246" s="117">
        <v>18048</v>
      </c>
      <c r="DJ246" s="136"/>
      <c r="DL246" s="160">
        <v>-142</v>
      </c>
      <c r="DM246" s="160">
        <v>391</v>
      </c>
      <c r="DN246" s="161">
        <v>6212</v>
      </c>
      <c r="DO246" s="116">
        <v>2816</v>
      </c>
      <c r="DP246" s="160">
        <v>-21</v>
      </c>
      <c r="DR246" s="161">
        <v>3375</v>
      </c>
      <c r="DS246" s="116">
        <v>-4</v>
      </c>
      <c r="DT246" s="116">
        <v>1</v>
      </c>
      <c r="DU246" s="116">
        <v>3</v>
      </c>
      <c r="DV246" s="116">
        <v>-15</v>
      </c>
      <c r="DW246" s="160">
        <v>3354</v>
      </c>
      <c r="DX246" s="160">
        <v>5437</v>
      </c>
      <c r="DY246" s="116">
        <v>6237</v>
      </c>
      <c r="DZ246" s="150"/>
      <c r="EA246" s="116">
        <v>135</v>
      </c>
      <c r="EB246" s="116">
        <v>-1826</v>
      </c>
      <c r="EC246" s="159">
        <v>3259</v>
      </c>
      <c r="EE246" s="125"/>
      <c r="EF246" s="161"/>
      <c r="EG246" s="124"/>
      <c r="EH246" s="253">
        <v>21.25</v>
      </c>
      <c r="EI246" s="130"/>
      <c r="EJ246" s="125">
        <v>17</v>
      </c>
      <c r="EK246" s="116"/>
      <c r="EL246" s="159"/>
      <c r="EN246" s="116"/>
      <c r="EO246" s="116"/>
      <c r="EP246" s="159"/>
      <c r="EQ246" s="159">
        <v>-3645</v>
      </c>
      <c r="ER246" s="116">
        <v>35</v>
      </c>
      <c r="ES246" s="116">
        <v>457</v>
      </c>
      <c r="ET246" s="160">
        <v>-4009</v>
      </c>
      <c r="EU246" s="116">
        <v>138</v>
      </c>
      <c r="EV246" s="116">
        <v>25</v>
      </c>
      <c r="EW246" s="160">
        <v>-3209</v>
      </c>
      <c r="EX246" s="160">
        <v>122</v>
      </c>
      <c r="EY246" s="160">
        <v>109</v>
      </c>
      <c r="EZ246" s="116">
        <v>3433</v>
      </c>
      <c r="FA246" s="116">
        <v>-559</v>
      </c>
      <c r="FB246" s="116">
        <v>4531</v>
      </c>
      <c r="FC246" s="160">
        <v>-2694</v>
      </c>
      <c r="FD246" s="116">
        <v>824</v>
      </c>
      <c r="FE246" s="116">
        <v>-1002</v>
      </c>
      <c r="FF246" s="3">
        <v>22394</v>
      </c>
      <c r="FG246" s="3">
        <v>16917</v>
      </c>
      <c r="FH246" s="3">
        <v>5477</v>
      </c>
      <c r="FI246" s="3">
        <v>18</v>
      </c>
      <c r="FJ246" s="125">
        <v>22395</v>
      </c>
      <c r="FK246" s="160">
        <v>19580</v>
      </c>
      <c r="FL246" s="125">
        <v>2815</v>
      </c>
      <c r="FM246" s="116">
        <v>18</v>
      </c>
      <c r="FN246" s="125">
        <v>20390</v>
      </c>
      <c r="FO246" s="116">
        <v>18671</v>
      </c>
      <c r="FP246" s="116">
        <v>1719</v>
      </c>
      <c r="FQ246" s="116">
        <v>135</v>
      </c>
      <c r="FR246" s="153">
        <v>1116</v>
      </c>
      <c r="FS246" s="153">
        <v>1006</v>
      </c>
      <c r="FT246" s="276">
        <v>884</v>
      </c>
      <c r="FU246" s="3">
        <v>1006</v>
      </c>
      <c r="FV246" s="159">
        <v>1025</v>
      </c>
      <c r="FW246" s="170"/>
      <c r="FZ246" s="155"/>
      <c r="GA246" s="2"/>
      <c r="GD246" s="163"/>
      <c r="GE246" s="2"/>
      <c r="GF246" s="2"/>
    </row>
    <row r="247" spans="1:188" ht="14.5" x14ac:dyDescent="0.35">
      <c r="A247" s="72">
        <v>765</v>
      </c>
      <c r="B247" s="70" t="s">
        <v>236</v>
      </c>
      <c r="C247" s="158">
        <v>10389</v>
      </c>
      <c r="D247" s="171"/>
      <c r="E247" s="128">
        <v>0.40691144708423327</v>
      </c>
      <c r="F247" s="128">
        <v>60.333249391421134</v>
      </c>
      <c r="G247" s="129">
        <v>-5646.2604678024836</v>
      </c>
      <c r="H247" s="216"/>
      <c r="I247" s="172"/>
      <c r="J247" s="218"/>
      <c r="K247" s="128">
        <v>35.392402402928347</v>
      </c>
      <c r="L247" s="129">
        <v>626.91308114351716</v>
      </c>
      <c r="M247" s="129">
        <v>17.635217839630268</v>
      </c>
      <c r="N247" s="129">
        <v>12975.358552314949</v>
      </c>
      <c r="O247" s="129"/>
      <c r="P247" s="117">
        <v>53593</v>
      </c>
      <c r="Q247" s="161">
        <v>118847</v>
      </c>
      <c r="R247" s="161">
        <v>129</v>
      </c>
      <c r="S247" s="161">
        <v>-65125</v>
      </c>
      <c r="T247" s="124">
        <v>39143</v>
      </c>
      <c r="U247" s="124">
        <v>26394</v>
      </c>
      <c r="V247" s="136"/>
      <c r="X247" s="116">
        <v>1227</v>
      </c>
      <c r="Y247" s="116">
        <v>-98</v>
      </c>
      <c r="Z247" s="161">
        <v>1541</v>
      </c>
      <c r="AA247" s="116">
        <v>4594</v>
      </c>
      <c r="AB247" s="116">
        <v>-4</v>
      </c>
      <c r="AD247" s="161">
        <v>-3057</v>
      </c>
      <c r="AE247" s="116">
        <v>3</v>
      </c>
      <c r="AF247" s="116">
        <v>11</v>
      </c>
      <c r="AG247" s="116">
        <v>0</v>
      </c>
      <c r="AH247" s="116">
        <v>-93</v>
      </c>
      <c r="AI247" s="160">
        <v>-3136</v>
      </c>
      <c r="AJ247" s="161">
        <v>6148</v>
      </c>
      <c r="AK247" s="161">
        <v>1795</v>
      </c>
      <c r="AL247" s="150"/>
      <c r="AM247" s="161">
        <v>-2286</v>
      </c>
      <c r="AN247" s="161">
        <v>-4287</v>
      </c>
      <c r="AO247" s="160">
        <v>-8045</v>
      </c>
      <c r="AQ247" s="160"/>
      <c r="AR247" s="117"/>
      <c r="AS247" s="117"/>
      <c r="AT247" s="99">
        <v>21.25</v>
      </c>
      <c r="AU247" s="130"/>
      <c r="AV247" s="262">
        <v>261</v>
      </c>
      <c r="AW247" s="267">
        <v>10336</v>
      </c>
      <c r="AX247" s="124"/>
      <c r="AY247" s="255">
        <v>3.6703111858704793</v>
      </c>
      <c r="AZ247" s="259">
        <v>64.893070717444957</v>
      </c>
      <c r="BA247" s="160">
        <v>666.40866873065022</v>
      </c>
      <c r="BB247" s="130"/>
      <c r="BC247" s="130"/>
      <c r="BD247" s="130"/>
      <c r="BE247" s="128">
        <v>53.821167293623503</v>
      </c>
      <c r="BF247" s="160">
        <v>7677.6315789473683</v>
      </c>
      <c r="BG247" s="129">
        <v>16.925555167920944</v>
      </c>
      <c r="BH247" s="131">
        <v>13588.719040247679</v>
      </c>
      <c r="BI247" s="124"/>
      <c r="BJ247" s="117">
        <v>53471</v>
      </c>
      <c r="BK247" s="117">
        <v>121085</v>
      </c>
      <c r="BL247" s="161">
        <v>0</v>
      </c>
      <c r="BM247" s="161">
        <v>-67614</v>
      </c>
      <c r="BN247" s="117">
        <v>40548</v>
      </c>
      <c r="BO247" s="117">
        <v>26715</v>
      </c>
      <c r="BP247" s="136"/>
      <c r="BR247" s="160">
        <v>828</v>
      </c>
      <c r="BS247" s="160">
        <v>16602</v>
      </c>
      <c r="BT247" s="161">
        <v>17079</v>
      </c>
      <c r="BU247" s="125">
        <v>4553</v>
      </c>
      <c r="BV247" s="160">
        <v>40356</v>
      </c>
      <c r="BX247" s="161">
        <v>52882</v>
      </c>
      <c r="BY247" s="160">
        <v>-11</v>
      </c>
      <c r="BZ247" s="160">
        <v>15</v>
      </c>
      <c r="CA247" s="160">
        <v>0</v>
      </c>
      <c r="CB247" s="160">
        <v>-136</v>
      </c>
      <c r="CC247" s="160">
        <v>52750</v>
      </c>
      <c r="CD247" s="160">
        <v>58911</v>
      </c>
      <c r="CE247" s="116">
        <v>16043</v>
      </c>
      <c r="CF247" s="150"/>
      <c r="CG247" s="161">
        <v>884</v>
      </c>
      <c r="CH247" s="160">
        <v>-4379</v>
      </c>
      <c r="CI247" s="159">
        <v>43830</v>
      </c>
      <c r="CK247" s="124"/>
      <c r="CL247" s="161"/>
      <c r="CM247" s="124"/>
      <c r="CN247" s="265">
        <v>21.25</v>
      </c>
      <c r="CO247" s="130"/>
      <c r="CP247" s="116">
        <v>4</v>
      </c>
      <c r="CQ247" s="267">
        <v>10301</v>
      </c>
      <c r="CR247" s="124"/>
      <c r="CS247" s="268">
        <v>0.36612965093977751</v>
      </c>
      <c r="CT247" s="269">
        <v>60.91432103461392</v>
      </c>
      <c r="CU247" s="160">
        <v>-308.12542471604701</v>
      </c>
      <c r="CV247" s="130"/>
      <c r="CW247" s="130"/>
      <c r="CX247" s="130"/>
      <c r="CY247" s="269">
        <v>53.192112339408425</v>
      </c>
      <c r="CZ247" s="125">
        <v>6400.2524026793517</v>
      </c>
      <c r="DA247" s="125">
        <v>168.20268267792488</v>
      </c>
      <c r="DB247" s="273">
        <v>13888.554509270945</v>
      </c>
      <c r="DC247" s="124"/>
      <c r="DD247" s="117">
        <v>55749</v>
      </c>
      <c r="DE247" s="117">
        <v>125785</v>
      </c>
      <c r="DF247" s="117">
        <v>0</v>
      </c>
      <c r="DG247" s="117">
        <v>-70036</v>
      </c>
      <c r="DH247" s="117">
        <v>39261</v>
      </c>
      <c r="DI247" s="117">
        <v>31182</v>
      </c>
      <c r="DJ247" s="136"/>
      <c r="DL247" s="160">
        <v>-726</v>
      </c>
      <c r="DM247" s="160">
        <v>1492</v>
      </c>
      <c r="DN247" s="161">
        <v>1173</v>
      </c>
      <c r="DO247" s="116">
        <v>5274</v>
      </c>
      <c r="DP247" s="160">
        <v>0</v>
      </c>
      <c r="DR247" s="161">
        <v>-4101</v>
      </c>
      <c r="DS247" s="116">
        <v>-9</v>
      </c>
      <c r="DT247" s="116">
        <v>2</v>
      </c>
      <c r="DU247" s="116">
        <v>0</v>
      </c>
      <c r="DV247" s="116">
        <v>-166</v>
      </c>
      <c r="DW247" s="160">
        <v>-4274</v>
      </c>
      <c r="DX247" s="160">
        <v>54637</v>
      </c>
      <c r="DY247" s="116">
        <v>917</v>
      </c>
      <c r="DZ247" s="150"/>
      <c r="EA247" s="117">
        <v>-1886</v>
      </c>
      <c r="EB247" s="116">
        <v>-4478</v>
      </c>
      <c r="EC247" s="159">
        <v>-10047</v>
      </c>
      <c r="EE247" s="125"/>
      <c r="EF247" s="161"/>
      <c r="EG247" s="124"/>
      <c r="EH247" s="253">
        <v>19.75</v>
      </c>
      <c r="EI247" s="130"/>
      <c r="EJ247" s="125">
        <v>293</v>
      </c>
      <c r="EK247" s="116"/>
      <c r="EL247" s="159"/>
      <c r="EN247" s="116"/>
      <c r="EO247" s="116"/>
      <c r="EP247" s="159"/>
      <c r="EQ247" s="159">
        <v>-10596</v>
      </c>
      <c r="ER247" s="116">
        <v>32</v>
      </c>
      <c r="ES247" s="116">
        <v>724</v>
      </c>
      <c r="ET247" s="160">
        <v>-13407</v>
      </c>
      <c r="EU247" s="116">
        <v>159</v>
      </c>
      <c r="EV247" s="116">
        <v>41035</v>
      </c>
      <c r="EW247" s="160">
        <v>-11361</v>
      </c>
      <c r="EX247" s="160">
        <v>144</v>
      </c>
      <c r="EY247" s="160">
        <v>253</v>
      </c>
      <c r="EZ247" s="116">
        <v>7926</v>
      </c>
      <c r="FA247" s="116">
        <v>3444</v>
      </c>
      <c r="FB247" s="116">
        <v>10966</v>
      </c>
      <c r="FC247" s="160">
        <v>-1498</v>
      </c>
      <c r="FD247" s="116">
        <v>6102</v>
      </c>
      <c r="FE247" s="116">
        <v>-6002</v>
      </c>
      <c r="FF247" s="3">
        <v>55438</v>
      </c>
      <c r="FG247" s="3">
        <v>39733</v>
      </c>
      <c r="FH247" s="3">
        <v>15705</v>
      </c>
      <c r="FI247" s="3">
        <v>21763</v>
      </c>
      <c r="FJ247" s="125">
        <v>60527</v>
      </c>
      <c r="FK247" s="160">
        <v>46136</v>
      </c>
      <c r="FL247" s="125">
        <v>14391</v>
      </c>
      <c r="FM247" s="116">
        <v>0</v>
      </c>
      <c r="FN247" s="125">
        <v>56149</v>
      </c>
      <c r="FO247" s="116">
        <v>47601</v>
      </c>
      <c r="FP247" s="116">
        <v>8548</v>
      </c>
      <c r="FQ247" s="116">
        <v>-1886</v>
      </c>
      <c r="FR247" s="153">
        <v>5</v>
      </c>
      <c r="FS247" s="153">
        <v>0</v>
      </c>
      <c r="FT247" s="276">
        <v>0</v>
      </c>
      <c r="FU247" s="3">
        <v>2593</v>
      </c>
      <c r="FV247" s="159">
        <v>3221</v>
      </c>
      <c r="FW247" s="170"/>
      <c r="FZ247" s="155"/>
      <c r="GA247" s="2"/>
      <c r="GD247" s="163"/>
      <c r="GE247" s="2"/>
      <c r="GF247" s="2"/>
    </row>
    <row r="248" spans="1:188" ht="14.5" x14ac:dyDescent="0.35">
      <c r="A248" s="72">
        <v>768</v>
      </c>
      <c r="B248" s="70" t="s">
        <v>237</v>
      </c>
      <c r="C248" s="158">
        <v>2530</v>
      </c>
      <c r="D248" s="171"/>
      <c r="E248" s="128">
        <v>0.65423051299133905</v>
      </c>
      <c r="F248" s="128">
        <v>29.836188570714018</v>
      </c>
      <c r="G248" s="129">
        <v>-2574.308300395257</v>
      </c>
      <c r="H248" s="216"/>
      <c r="I248" s="172"/>
      <c r="J248" s="218"/>
      <c r="K248" s="128">
        <v>53.59366157328806</v>
      </c>
      <c r="L248" s="129">
        <v>759.68379446640324</v>
      </c>
      <c r="M248" s="129">
        <v>16.138256268691052</v>
      </c>
      <c r="N248" s="129">
        <v>17181.818181818184</v>
      </c>
      <c r="O248" s="129"/>
      <c r="P248" s="117">
        <v>19809</v>
      </c>
      <c r="Q248" s="161">
        <v>38241</v>
      </c>
      <c r="R248" s="161">
        <v>85</v>
      </c>
      <c r="S248" s="161">
        <v>-18347</v>
      </c>
      <c r="T248" s="124">
        <v>8070</v>
      </c>
      <c r="U248" s="124">
        <v>12106</v>
      </c>
      <c r="V248" s="136"/>
      <c r="X248" s="116">
        <v>-59</v>
      </c>
      <c r="Y248" s="116">
        <v>128</v>
      </c>
      <c r="Z248" s="161">
        <v>1898</v>
      </c>
      <c r="AA248" s="116">
        <v>1205</v>
      </c>
      <c r="AB248" s="117">
        <v>71</v>
      </c>
      <c r="AD248" s="161">
        <v>764</v>
      </c>
      <c r="AE248" s="117">
        <v>-17</v>
      </c>
      <c r="AF248" s="117">
        <v>2</v>
      </c>
      <c r="AG248" s="116">
        <v>0</v>
      </c>
      <c r="AH248" s="117">
        <v>-5</v>
      </c>
      <c r="AI248" s="160">
        <v>744</v>
      </c>
      <c r="AJ248" s="161">
        <v>4958</v>
      </c>
      <c r="AK248" s="161">
        <v>1675</v>
      </c>
      <c r="AL248" s="150"/>
      <c r="AM248" s="161">
        <v>637</v>
      </c>
      <c r="AN248" s="161">
        <v>-2936</v>
      </c>
      <c r="AO248" s="160">
        <v>-321</v>
      </c>
      <c r="AQ248" s="160"/>
      <c r="AR248" s="117"/>
      <c r="AS248" s="117"/>
      <c r="AT248" s="99">
        <v>21.5</v>
      </c>
      <c r="AU248" s="130"/>
      <c r="AV248" s="262">
        <v>62</v>
      </c>
      <c r="AW248" s="267">
        <v>2492</v>
      </c>
      <c r="AX248" s="124"/>
      <c r="AY248" s="255">
        <v>2.0774378585086044</v>
      </c>
      <c r="AZ248" s="259">
        <v>26.719071776583455</v>
      </c>
      <c r="BA248" s="160">
        <v>-2541.733547351525</v>
      </c>
      <c r="BB248" s="130"/>
      <c r="BC248" s="130"/>
      <c r="BD248" s="130"/>
      <c r="BE248" s="128">
        <v>58.637635411435539</v>
      </c>
      <c r="BF248" s="160">
        <v>592.69662921348311</v>
      </c>
      <c r="BG248" s="129">
        <v>17.165333137585947</v>
      </c>
      <c r="BH248" s="131">
        <v>16400.080256821831</v>
      </c>
      <c r="BI248" s="124"/>
      <c r="BJ248" s="117">
        <v>19301</v>
      </c>
      <c r="BK248" s="117">
        <v>37868</v>
      </c>
      <c r="BL248" s="161">
        <v>54</v>
      </c>
      <c r="BM248" s="161">
        <v>-18513</v>
      </c>
      <c r="BN248" s="117">
        <v>8433</v>
      </c>
      <c r="BO248" s="117">
        <v>12084</v>
      </c>
      <c r="BP248" s="136"/>
      <c r="BR248" s="160">
        <v>-43</v>
      </c>
      <c r="BS248" s="160">
        <v>162</v>
      </c>
      <c r="BT248" s="161">
        <v>2123</v>
      </c>
      <c r="BU248" s="125">
        <v>1095</v>
      </c>
      <c r="BV248" s="161">
        <v>0</v>
      </c>
      <c r="BW248" s="117"/>
      <c r="BX248" s="161">
        <v>1028</v>
      </c>
      <c r="BY248" s="161">
        <v>-20</v>
      </c>
      <c r="BZ248" s="161">
        <v>0</v>
      </c>
      <c r="CA248" s="161">
        <v>0</v>
      </c>
      <c r="CB248" s="161">
        <v>-11</v>
      </c>
      <c r="CC248" s="160">
        <v>997</v>
      </c>
      <c r="CD248" s="160">
        <v>5973</v>
      </c>
      <c r="CE248" s="116">
        <v>2023</v>
      </c>
      <c r="CF248" s="150"/>
      <c r="CG248" s="161">
        <v>667</v>
      </c>
      <c r="CH248" s="160">
        <v>-996</v>
      </c>
      <c r="CI248" s="159">
        <v>159</v>
      </c>
      <c r="CK248" s="124"/>
      <c r="CL248" s="161"/>
      <c r="CM248" s="124"/>
      <c r="CN248" s="265">
        <v>21.5</v>
      </c>
      <c r="CO248" s="130"/>
      <c r="CP248" s="116">
        <v>32</v>
      </c>
      <c r="CQ248" s="267">
        <v>2482</v>
      </c>
      <c r="CR248" s="124"/>
      <c r="CS248" s="268">
        <v>0.55352209944751385</v>
      </c>
      <c r="CT248" s="269">
        <v>23.473525107363066</v>
      </c>
      <c r="CU248" s="160">
        <v>-2145.4472199838838</v>
      </c>
      <c r="CV248" s="130"/>
      <c r="CW248" s="130"/>
      <c r="CX248" s="130"/>
      <c r="CY248" s="269">
        <v>61.942182555203928</v>
      </c>
      <c r="CZ248" s="125">
        <v>770.74939564867043</v>
      </c>
      <c r="DA248" s="125">
        <v>14.977370227370226</v>
      </c>
      <c r="DB248" s="273">
        <v>18783.239323126512</v>
      </c>
      <c r="DC248" s="124"/>
      <c r="DD248" s="117">
        <v>19535</v>
      </c>
      <c r="DE248" s="117">
        <v>38723</v>
      </c>
      <c r="DF248" s="117">
        <v>36</v>
      </c>
      <c r="DG248" s="117">
        <v>-19152</v>
      </c>
      <c r="DH248" s="117">
        <v>8927</v>
      </c>
      <c r="DI248" s="117">
        <v>13219</v>
      </c>
      <c r="DJ248" s="136"/>
      <c r="DL248" s="160">
        <v>-39</v>
      </c>
      <c r="DM248" s="160">
        <v>206</v>
      </c>
      <c r="DN248" s="161">
        <v>3161</v>
      </c>
      <c r="DO248" s="116">
        <v>2036</v>
      </c>
      <c r="DP248" s="161">
        <v>10</v>
      </c>
      <c r="DQ248" s="117"/>
      <c r="DR248" s="161">
        <v>1135</v>
      </c>
      <c r="DS248" s="117">
        <v>-7</v>
      </c>
      <c r="DT248" s="117">
        <v>-14</v>
      </c>
      <c r="DU248" s="117">
        <v>0</v>
      </c>
      <c r="DV248" s="117">
        <v>-12</v>
      </c>
      <c r="DW248" s="160">
        <v>1102</v>
      </c>
      <c r="DX248" s="160">
        <v>7021</v>
      </c>
      <c r="DY248" s="116">
        <v>3066</v>
      </c>
      <c r="DZ248" s="150"/>
      <c r="EA248" s="117">
        <v>281</v>
      </c>
      <c r="EB248" s="116">
        <v>-5747</v>
      </c>
      <c r="EC248" s="159">
        <v>1095</v>
      </c>
      <c r="EE248" s="125"/>
      <c r="EF248" s="161"/>
      <c r="EG248" s="124"/>
      <c r="EH248" s="253">
        <v>21.5</v>
      </c>
      <c r="EI248" s="130"/>
      <c r="EJ248" s="125">
        <v>57</v>
      </c>
      <c r="EK248" s="116"/>
      <c r="EL248" s="159"/>
      <c r="EN248" s="116"/>
      <c r="EO248" s="116"/>
      <c r="EP248" s="159"/>
      <c r="EQ248" s="159">
        <v>-2221</v>
      </c>
      <c r="ER248" s="116">
        <v>186</v>
      </c>
      <c r="ES248" s="116">
        <v>39</v>
      </c>
      <c r="ET248" s="160">
        <v>-1948</v>
      </c>
      <c r="EU248" s="116">
        <v>80</v>
      </c>
      <c r="EV248" s="116">
        <v>4</v>
      </c>
      <c r="EW248" s="160">
        <v>-2102</v>
      </c>
      <c r="EX248" s="160">
        <v>32</v>
      </c>
      <c r="EY248" s="160">
        <v>99</v>
      </c>
      <c r="EZ248" s="116">
        <v>34</v>
      </c>
      <c r="FA248" s="116">
        <v>2249</v>
      </c>
      <c r="FB248" s="116">
        <v>28</v>
      </c>
      <c r="FC248" s="160">
        <v>-215</v>
      </c>
      <c r="FD248" s="116">
        <v>725</v>
      </c>
      <c r="FE248" s="116">
        <v>4770</v>
      </c>
      <c r="FF248" s="3">
        <v>7061</v>
      </c>
      <c r="FG248" s="3">
        <v>3840</v>
      </c>
      <c r="FH248" s="3">
        <v>3221</v>
      </c>
      <c r="FI248" s="3">
        <v>17</v>
      </c>
      <c r="FJ248" s="125">
        <v>5878</v>
      </c>
      <c r="FK248" s="160">
        <v>3056</v>
      </c>
      <c r="FL248" s="125">
        <v>2822</v>
      </c>
      <c r="FM248" s="116">
        <v>17</v>
      </c>
      <c r="FN248" s="125">
        <v>5627</v>
      </c>
      <c r="FO248" s="116">
        <v>3034</v>
      </c>
      <c r="FP248" s="116">
        <v>2593</v>
      </c>
      <c r="FQ248" s="116">
        <v>281</v>
      </c>
      <c r="FR248" s="153">
        <v>632</v>
      </c>
      <c r="FS248" s="153">
        <v>152</v>
      </c>
      <c r="FT248" s="276">
        <v>133</v>
      </c>
      <c r="FU248" s="3">
        <v>805</v>
      </c>
      <c r="FV248" s="159">
        <v>707</v>
      </c>
      <c r="FW248" s="170"/>
      <c r="FZ248" s="155"/>
      <c r="GA248" s="2"/>
      <c r="GD248" s="163"/>
      <c r="GE248" s="2"/>
      <c r="GF248" s="2"/>
    </row>
    <row r="249" spans="1:188" ht="14.5" x14ac:dyDescent="0.35">
      <c r="A249" s="72">
        <v>777</v>
      </c>
      <c r="B249" s="70" t="s">
        <v>238</v>
      </c>
      <c r="C249" s="158">
        <v>7862</v>
      </c>
      <c r="D249" s="171"/>
      <c r="E249" s="128">
        <v>0.46041250831669994</v>
      </c>
      <c r="F249" s="128">
        <v>42.29458231135478</v>
      </c>
      <c r="G249" s="129">
        <v>-3247.2653268888325</v>
      </c>
      <c r="H249" s="216"/>
      <c r="I249" s="172"/>
      <c r="J249" s="218"/>
      <c r="K249" s="128">
        <v>50.159483944603529</v>
      </c>
      <c r="L249" s="129">
        <v>1849.9109641312643</v>
      </c>
      <c r="M249" s="129">
        <v>42.493636232649727</v>
      </c>
      <c r="N249" s="129">
        <v>15889.849910964131</v>
      </c>
      <c r="O249" s="129"/>
      <c r="P249" s="117">
        <v>53678</v>
      </c>
      <c r="Q249" s="161">
        <v>109355</v>
      </c>
      <c r="R249" s="161">
        <v>0</v>
      </c>
      <c r="S249" s="161">
        <v>-55677</v>
      </c>
      <c r="T249" s="124">
        <v>25855</v>
      </c>
      <c r="U249" s="124">
        <v>31363</v>
      </c>
      <c r="V249" s="136"/>
      <c r="X249" s="116">
        <v>-275</v>
      </c>
      <c r="Y249" s="116">
        <v>-181</v>
      </c>
      <c r="Z249" s="161">
        <v>1085</v>
      </c>
      <c r="AA249" s="116">
        <v>6854</v>
      </c>
      <c r="AB249" s="117">
        <v>-3</v>
      </c>
      <c r="AD249" s="161">
        <v>-5772</v>
      </c>
      <c r="AE249" s="116">
        <v>-6</v>
      </c>
      <c r="AF249" s="116">
        <v>13</v>
      </c>
      <c r="AG249" s="116">
        <v>0</v>
      </c>
      <c r="AH249" s="116">
        <v>-82</v>
      </c>
      <c r="AI249" s="160">
        <v>-5847</v>
      </c>
      <c r="AJ249" s="161">
        <v>7103</v>
      </c>
      <c r="AK249" s="161">
        <v>1645</v>
      </c>
      <c r="AL249" s="150"/>
      <c r="AM249" s="161">
        <v>-2375</v>
      </c>
      <c r="AN249" s="161">
        <v>-2707</v>
      </c>
      <c r="AO249" s="160">
        <v>-10411</v>
      </c>
      <c r="AQ249" s="160"/>
      <c r="AR249" s="117"/>
      <c r="AS249" s="117"/>
      <c r="AT249" s="99">
        <v>20.5</v>
      </c>
      <c r="AU249" s="130"/>
      <c r="AV249" s="262">
        <v>266</v>
      </c>
      <c r="AW249" s="267">
        <v>7727</v>
      </c>
      <c r="AX249" s="124"/>
      <c r="AY249" s="255">
        <v>1.4984974958263773</v>
      </c>
      <c r="AZ249" s="259">
        <v>47.344758753394359</v>
      </c>
      <c r="BA249" s="160">
        <v>-4065.7434968292996</v>
      </c>
      <c r="BB249" s="130"/>
      <c r="BC249" s="130"/>
      <c r="BD249" s="130"/>
      <c r="BE249" s="128">
        <v>46.479191205339617</v>
      </c>
      <c r="BF249" s="160">
        <v>2024.3302704801347</v>
      </c>
      <c r="BG249" s="129">
        <v>44.096157360490423</v>
      </c>
      <c r="BH249" s="131">
        <v>15579.914585220655</v>
      </c>
      <c r="BI249" s="124"/>
      <c r="BJ249" s="117">
        <v>53664</v>
      </c>
      <c r="BK249" s="117">
        <v>107120</v>
      </c>
      <c r="BL249" s="161">
        <v>0</v>
      </c>
      <c r="BM249" s="161">
        <v>-53456</v>
      </c>
      <c r="BN249" s="117">
        <v>26803</v>
      </c>
      <c r="BO249" s="117">
        <v>30747</v>
      </c>
      <c r="BP249" s="136"/>
      <c r="BR249" s="160">
        <v>-294</v>
      </c>
      <c r="BS249" s="160">
        <v>375</v>
      </c>
      <c r="BT249" s="161">
        <v>4175</v>
      </c>
      <c r="BU249" s="125">
        <v>6048</v>
      </c>
      <c r="BV249" s="161">
        <v>0</v>
      </c>
      <c r="BX249" s="161">
        <v>-1873</v>
      </c>
      <c r="BY249" s="160">
        <v>-13</v>
      </c>
      <c r="BZ249" s="160">
        <v>38</v>
      </c>
      <c r="CA249" s="160">
        <v>0</v>
      </c>
      <c r="CB249" s="160">
        <v>-48</v>
      </c>
      <c r="CC249" s="160">
        <v>-1896</v>
      </c>
      <c r="CD249" s="160">
        <v>5157</v>
      </c>
      <c r="CE249" s="116">
        <v>4034</v>
      </c>
      <c r="CF249" s="150"/>
      <c r="CG249" s="160">
        <v>1233</v>
      </c>
      <c r="CH249" s="160">
        <v>-2682</v>
      </c>
      <c r="CI249" s="159">
        <v>-5913</v>
      </c>
      <c r="CK249" s="124"/>
      <c r="CL249" s="161"/>
      <c r="CM249" s="124"/>
      <c r="CN249" s="265">
        <v>21.5</v>
      </c>
      <c r="CO249" s="130"/>
      <c r="CP249" s="116">
        <v>106</v>
      </c>
      <c r="CQ249" s="267">
        <v>7594</v>
      </c>
      <c r="CR249" s="124"/>
      <c r="CS249" s="268">
        <v>2.1256410256410256</v>
      </c>
      <c r="CT249" s="269">
        <v>54.750091268129168</v>
      </c>
      <c r="CU249" s="160">
        <v>-4827.3637081906772</v>
      </c>
      <c r="CV249" s="130"/>
      <c r="CW249" s="130"/>
      <c r="CX249" s="130"/>
      <c r="CY249" s="269">
        <v>41.403752003812663</v>
      </c>
      <c r="CZ249" s="125">
        <v>2952.199104556229</v>
      </c>
      <c r="DA249" s="125">
        <v>63.241429145542234</v>
      </c>
      <c r="DB249" s="273">
        <v>17038.714774822227</v>
      </c>
      <c r="DC249" s="124"/>
      <c r="DD249" s="117">
        <v>58134</v>
      </c>
      <c r="DE249" s="117">
        <v>112912</v>
      </c>
      <c r="DF249" s="117">
        <v>0</v>
      </c>
      <c r="DG249" s="117">
        <v>-54778</v>
      </c>
      <c r="DH249" s="117">
        <v>28042</v>
      </c>
      <c r="DI249" s="117">
        <v>34348</v>
      </c>
      <c r="DJ249" s="136"/>
      <c r="DL249" s="160">
        <v>-307</v>
      </c>
      <c r="DM249" s="160">
        <v>-163</v>
      </c>
      <c r="DN249" s="161">
        <v>7142</v>
      </c>
      <c r="DO249" s="116">
        <v>6609</v>
      </c>
      <c r="DP249" s="161">
        <v>0</v>
      </c>
      <c r="DR249" s="161">
        <v>533</v>
      </c>
      <c r="DS249" s="116">
        <v>-17</v>
      </c>
      <c r="DT249" s="116">
        <v>0</v>
      </c>
      <c r="DU249" s="116">
        <v>10</v>
      </c>
      <c r="DV249" s="116">
        <v>-90</v>
      </c>
      <c r="DW249" s="160">
        <v>416</v>
      </c>
      <c r="DX249" s="160">
        <v>5573</v>
      </c>
      <c r="DY249" s="116">
        <v>7138</v>
      </c>
      <c r="DZ249" s="150"/>
      <c r="EA249" s="116">
        <v>-1321</v>
      </c>
      <c r="EB249" s="116">
        <v>-3191</v>
      </c>
      <c r="EC249" s="159">
        <v>-5187</v>
      </c>
      <c r="EE249" s="125"/>
      <c r="EF249" s="161"/>
      <c r="EG249" s="124"/>
      <c r="EH249" s="253">
        <v>21.5</v>
      </c>
      <c r="EI249" s="130"/>
      <c r="EJ249" s="125">
        <v>158</v>
      </c>
      <c r="EK249" s="116"/>
      <c r="EL249" s="159"/>
      <c r="EN249" s="116"/>
      <c r="EO249" s="116"/>
      <c r="EP249" s="159"/>
      <c r="EQ249" s="159">
        <v>-12131</v>
      </c>
      <c r="ER249" s="116">
        <v>62</v>
      </c>
      <c r="ES249" s="116">
        <v>13</v>
      </c>
      <c r="ET249" s="160">
        <v>-10099</v>
      </c>
      <c r="EU249" s="116">
        <v>8</v>
      </c>
      <c r="EV249" s="116">
        <v>144</v>
      </c>
      <c r="EW249" s="160">
        <v>-12615</v>
      </c>
      <c r="EX249" s="160">
        <v>130</v>
      </c>
      <c r="EY249" s="160">
        <v>160</v>
      </c>
      <c r="EZ249" s="116">
        <v>8416</v>
      </c>
      <c r="FA249" s="116">
        <v>-270</v>
      </c>
      <c r="FB249" s="116">
        <v>10668</v>
      </c>
      <c r="FC249" s="160">
        <v>-1647</v>
      </c>
      <c r="FD249" s="116">
        <v>13340</v>
      </c>
      <c r="FE249" s="116">
        <v>-3</v>
      </c>
      <c r="FF249" s="3">
        <v>31340</v>
      </c>
      <c r="FG249" s="3">
        <v>26652</v>
      </c>
      <c r="FH249" s="3">
        <v>4688</v>
      </c>
      <c r="FI249" s="3">
        <v>50</v>
      </c>
      <c r="FJ249" s="125">
        <v>37447</v>
      </c>
      <c r="FK249" s="160">
        <v>34606</v>
      </c>
      <c r="FL249" s="125">
        <v>2841</v>
      </c>
      <c r="FM249" s="116">
        <v>0</v>
      </c>
      <c r="FN249" s="125">
        <v>47593</v>
      </c>
      <c r="FO249" s="116">
        <v>44401</v>
      </c>
      <c r="FP249" s="116">
        <v>3192</v>
      </c>
      <c r="FQ249" s="116">
        <v>-1321</v>
      </c>
      <c r="FR249" s="153">
        <v>927</v>
      </c>
      <c r="FS249" s="153">
        <v>664</v>
      </c>
      <c r="FT249" s="276">
        <v>450</v>
      </c>
      <c r="FU249" s="3">
        <v>969</v>
      </c>
      <c r="FV249" s="159">
        <v>710</v>
      </c>
      <c r="FW249" s="170"/>
      <c r="FZ249" s="155"/>
      <c r="GA249" s="2"/>
      <c r="GD249" s="163"/>
      <c r="GE249" s="2"/>
      <c r="GF249" s="2"/>
    </row>
    <row r="250" spans="1:188" ht="14.5" x14ac:dyDescent="0.35">
      <c r="A250" s="72">
        <v>778</v>
      </c>
      <c r="B250" s="70" t="s">
        <v>239</v>
      </c>
      <c r="C250" s="158">
        <v>7145</v>
      </c>
      <c r="D250" s="171"/>
      <c r="E250" s="128">
        <v>1.2225269701956483</v>
      </c>
      <c r="F250" s="128">
        <v>77.517030826365314</v>
      </c>
      <c r="G250" s="129">
        <v>-7876.5570328901331</v>
      </c>
      <c r="H250" s="216"/>
      <c r="I250" s="172"/>
      <c r="J250" s="218"/>
      <c r="K250" s="128">
        <v>31.915561792790758</v>
      </c>
      <c r="L250" s="129">
        <v>781.94541637508758</v>
      </c>
      <c r="M250" s="129">
        <v>22.310103386029208</v>
      </c>
      <c r="N250" s="129">
        <v>12792.862141357593</v>
      </c>
      <c r="O250" s="129"/>
      <c r="P250" s="117">
        <v>39665</v>
      </c>
      <c r="Q250" s="161">
        <v>81985</v>
      </c>
      <c r="R250" s="161">
        <v>86</v>
      </c>
      <c r="S250" s="161">
        <v>-42234</v>
      </c>
      <c r="T250" s="124">
        <v>23344</v>
      </c>
      <c r="U250" s="124">
        <v>24773</v>
      </c>
      <c r="V250" s="136"/>
      <c r="X250" s="116">
        <v>-790</v>
      </c>
      <c r="Y250" s="116">
        <v>625</v>
      </c>
      <c r="Z250" s="161">
        <v>5718</v>
      </c>
      <c r="AA250" s="116">
        <v>5336</v>
      </c>
      <c r="AB250" s="116">
        <v>-125</v>
      </c>
      <c r="AD250" s="161">
        <v>257</v>
      </c>
      <c r="AE250" s="117">
        <v>-15</v>
      </c>
      <c r="AF250" s="117">
        <v>-13</v>
      </c>
      <c r="AG250" s="116">
        <v>2</v>
      </c>
      <c r="AH250" s="116">
        <v>-75</v>
      </c>
      <c r="AI250" s="160">
        <v>156</v>
      </c>
      <c r="AJ250" s="161">
        <v>5245</v>
      </c>
      <c r="AK250" s="161">
        <v>5481</v>
      </c>
      <c r="AL250" s="150"/>
      <c r="AM250" s="161">
        <v>172</v>
      </c>
      <c r="AN250" s="161">
        <v>-4501</v>
      </c>
      <c r="AO250" s="160">
        <v>2151</v>
      </c>
      <c r="AQ250" s="160"/>
      <c r="AR250" s="117"/>
      <c r="AS250" s="117"/>
      <c r="AT250" s="99">
        <v>21.75</v>
      </c>
      <c r="AU250" s="130"/>
      <c r="AV250" s="262">
        <v>49</v>
      </c>
      <c r="AW250" s="267">
        <v>7064</v>
      </c>
      <c r="AX250" s="124"/>
      <c r="AY250" s="255">
        <v>0.77990770323038694</v>
      </c>
      <c r="AZ250" s="259">
        <v>77.964658292527147</v>
      </c>
      <c r="BA250" s="160">
        <v>-7673.8391845979622</v>
      </c>
      <c r="BB250" s="130"/>
      <c r="BC250" s="130"/>
      <c r="BD250" s="130"/>
      <c r="BE250" s="128">
        <v>32.053016997303082</v>
      </c>
      <c r="BF250" s="160">
        <v>1164.2129105322763</v>
      </c>
      <c r="BG250" s="129">
        <v>21.304907004352987</v>
      </c>
      <c r="BH250" s="131">
        <v>13593.714609286524</v>
      </c>
      <c r="BI250" s="124"/>
      <c r="BJ250" s="117">
        <v>39115</v>
      </c>
      <c r="BK250" s="117">
        <v>83534</v>
      </c>
      <c r="BL250" s="161">
        <v>63</v>
      </c>
      <c r="BM250" s="161">
        <v>-44356</v>
      </c>
      <c r="BN250" s="117">
        <v>24597</v>
      </c>
      <c r="BO250" s="117">
        <v>25531</v>
      </c>
      <c r="BP250" s="136"/>
      <c r="BR250" s="160">
        <v>-722</v>
      </c>
      <c r="BS250" s="160">
        <v>648</v>
      </c>
      <c r="BT250" s="161">
        <v>5698</v>
      </c>
      <c r="BU250" s="125">
        <v>5314</v>
      </c>
      <c r="BV250" s="160">
        <v>0</v>
      </c>
      <c r="BX250" s="161">
        <v>384</v>
      </c>
      <c r="BY250" s="161">
        <v>-35</v>
      </c>
      <c r="BZ250" s="160">
        <v>-6</v>
      </c>
      <c r="CA250" s="160">
        <v>13</v>
      </c>
      <c r="CB250" s="160">
        <v>-62</v>
      </c>
      <c r="CC250" s="160">
        <v>268</v>
      </c>
      <c r="CD250" s="160">
        <v>5817</v>
      </c>
      <c r="CE250" s="116">
        <v>5735</v>
      </c>
      <c r="CF250" s="150"/>
      <c r="CG250" s="160">
        <v>-1213</v>
      </c>
      <c r="CH250" s="160">
        <v>-7558</v>
      </c>
      <c r="CI250" s="159">
        <v>1916</v>
      </c>
      <c r="CK250" s="124"/>
      <c r="CL250" s="161"/>
      <c r="CM250" s="124"/>
      <c r="CN250" s="265">
        <v>21.75</v>
      </c>
      <c r="CO250" s="130"/>
      <c r="CP250" s="116">
        <v>38</v>
      </c>
      <c r="CQ250" s="267">
        <v>6931</v>
      </c>
      <c r="CR250" s="124"/>
      <c r="CS250" s="268">
        <v>1.6599118942731277</v>
      </c>
      <c r="CT250" s="269">
        <v>72.934793182088384</v>
      </c>
      <c r="CU250" s="160">
        <v>-7612.3214543355934</v>
      </c>
      <c r="CV250" s="130"/>
      <c r="CW250" s="130"/>
      <c r="CX250" s="130"/>
      <c r="CY250" s="269">
        <v>33.719154331601139</v>
      </c>
      <c r="CZ250" s="125">
        <v>1196.2198816909538</v>
      </c>
      <c r="DA250" s="125">
        <v>31.176879648898687</v>
      </c>
      <c r="DB250" s="273">
        <v>14004.616938392728</v>
      </c>
      <c r="DC250" s="124"/>
      <c r="DD250" s="117">
        <v>40789</v>
      </c>
      <c r="DE250" s="117">
        <v>85888</v>
      </c>
      <c r="DF250" s="117">
        <v>87</v>
      </c>
      <c r="DG250" s="117">
        <v>-45012</v>
      </c>
      <c r="DH250" s="117">
        <v>24311</v>
      </c>
      <c r="DI250" s="117">
        <v>27421</v>
      </c>
      <c r="DJ250" s="136"/>
      <c r="DL250" s="160">
        <v>-692</v>
      </c>
      <c r="DM250" s="160">
        <v>666</v>
      </c>
      <c r="DN250" s="161">
        <v>6694</v>
      </c>
      <c r="DO250" s="116">
        <v>5538</v>
      </c>
      <c r="DP250" s="160">
        <v>28</v>
      </c>
      <c r="DR250" s="161">
        <v>1184</v>
      </c>
      <c r="DS250" s="117">
        <v>-19</v>
      </c>
      <c r="DT250" s="116">
        <v>-10</v>
      </c>
      <c r="DU250" s="116">
        <v>7</v>
      </c>
      <c r="DV250" s="116">
        <v>-56</v>
      </c>
      <c r="DW250" s="160">
        <v>1092</v>
      </c>
      <c r="DX250" s="160">
        <v>7492</v>
      </c>
      <c r="DY250" s="116">
        <v>6832</v>
      </c>
      <c r="DZ250" s="150"/>
      <c r="EA250" s="116">
        <v>1105</v>
      </c>
      <c r="EB250" s="116">
        <v>-3698</v>
      </c>
      <c r="EC250" s="159">
        <v>939</v>
      </c>
      <c r="EE250" s="125"/>
      <c r="EF250" s="161"/>
      <c r="EG250" s="124"/>
      <c r="EH250" s="253">
        <v>21.75</v>
      </c>
      <c r="EI250" s="130"/>
      <c r="EJ250" s="125">
        <v>143</v>
      </c>
      <c r="EK250" s="116"/>
      <c r="EL250" s="159"/>
      <c r="EN250" s="116"/>
      <c r="EO250" s="116"/>
      <c r="EP250" s="159"/>
      <c r="EQ250" s="159">
        <v>-3890</v>
      </c>
      <c r="ER250" s="116">
        <v>116</v>
      </c>
      <c r="ES250" s="116">
        <v>444</v>
      </c>
      <c r="ET250" s="160">
        <v>-4035</v>
      </c>
      <c r="EU250" s="116">
        <v>105</v>
      </c>
      <c r="EV250" s="116">
        <v>111</v>
      </c>
      <c r="EW250" s="160">
        <v>-6630</v>
      </c>
      <c r="EX250" s="160">
        <v>402</v>
      </c>
      <c r="EY250" s="160">
        <v>335</v>
      </c>
      <c r="EZ250" s="116">
        <v>1800</v>
      </c>
      <c r="FA250" s="116">
        <v>2</v>
      </c>
      <c r="FB250" s="116">
        <v>5663</v>
      </c>
      <c r="FC250" s="160">
        <v>4020</v>
      </c>
      <c r="FD250" s="116">
        <v>4326</v>
      </c>
      <c r="FE250" s="116">
        <v>-4006</v>
      </c>
      <c r="FF250" s="3">
        <v>56270</v>
      </c>
      <c r="FG250" s="3">
        <v>48687</v>
      </c>
      <c r="FH250" s="3">
        <v>7583</v>
      </c>
      <c r="FI250" s="3">
        <v>37</v>
      </c>
      <c r="FJ250" s="125">
        <v>58400</v>
      </c>
      <c r="FK250" s="160">
        <v>50584</v>
      </c>
      <c r="FL250" s="125">
        <v>7816</v>
      </c>
      <c r="FM250" s="116">
        <v>37</v>
      </c>
      <c r="FN250" s="125">
        <v>55023</v>
      </c>
      <c r="FO250" s="116">
        <v>50923</v>
      </c>
      <c r="FP250" s="116">
        <v>4100</v>
      </c>
      <c r="FQ250" s="116">
        <v>1105</v>
      </c>
      <c r="FR250" s="153">
        <v>419</v>
      </c>
      <c r="FS250" s="153">
        <v>357</v>
      </c>
      <c r="FT250" s="276">
        <v>289</v>
      </c>
      <c r="FU250" s="3">
        <v>3519</v>
      </c>
      <c r="FV250" s="159">
        <v>3194</v>
      </c>
      <c r="FW250" s="170"/>
      <c r="FZ250" s="155"/>
      <c r="GA250" s="2"/>
      <c r="GD250" s="163"/>
      <c r="GE250" s="2"/>
      <c r="GF250" s="2"/>
    </row>
    <row r="251" spans="1:188" ht="14.5" x14ac:dyDescent="0.35">
      <c r="A251" s="72">
        <v>781</v>
      </c>
      <c r="B251" s="70" t="s">
        <v>240</v>
      </c>
      <c r="C251" s="158">
        <v>3753</v>
      </c>
      <c r="D251" s="171"/>
      <c r="E251" s="128">
        <v>3.7987616099071206</v>
      </c>
      <c r="F251" s="128">
        <v>20.972703832133014</v>
      </c>
      <c r="G251" s="129">
        <v>-140.95390354383161</v>
      </c>
      <c r="H251" s="216"/>
      <c r="I251" s="172"/>
      <c r="J251" s="218"/>
      <c r="K251" s="128">
        <v>60.436169656398725</v>
      </c>
      <c r="L251" s="129">
        <v>2037.8363975486277</v>
      </c>
      <c r="M251" s="129">
        <v>45.760372440699641</v>
      </c>
      <c r="N251" s="129">
        <v>16254.463096189713</v>
      </c>
      <c r="O251" s="129"/>
      <c r="P251" s="117">
        <v>30991</v>
      </c>
      <c r="Q251" s="161">
        <v>55149</v>
      </c>
      <c r="R251" s="161">
        <v>0</v>
      </c>
      <c r="S251" s="161">
        <v>-24158</v>
      </c>
      <c r="T251" s="124">
        <v>11733</v>
      </c>
      <c r="U251" s="124">
        <v>13511</v>
      </c>
      <c r="V251" s="136"/>
      <c r="X251" s="116">
        <v>-22</v>
      </c>
      <c r="Y251" s="116">
        <v>128</v>
      </c>
      <c r="Z251" s="161">
        <v>1192</v>
      </c>
      <c r="AA251" s="116">
        <v>2025</v>
      </c>
      <c r="AB251" s="116">
        <v>171</v>
      </c>
      <c r="AD251" s="161">
        <v>-662</v>
      </c>
      <c r="AE251" s="116">
        <v>-1</v>
      </c>
      <c r="AF251" s="116">
        <v>19</v>
      </c>
      <c r="AG251" s="116">
        <v>0</v>
      </c>
      <c r="AH251" s="117">
        <v>20</v>
      </c>
      <c r="AI251" s="160">
        <v>-624</v>
      </c>
      <c r="AJ251" s="161">
        <v>9292</v>
      </c>
      <c r="AK251" s="161">
        <v>1357</v>
      </c>
      <c r="AL251" s="150"/>
      <c r="AM251" s="161">
        <v>895</v>
      </c>
      <c r="AN251" s="161">
        <v>-288</v>
      </c>
      <c r="AO251" s="160">
        <v>-4145</v>
      </c>
      <c r="AQ251" s="160"/>
      <c r="AR251" s="117"/>
      <c r="AS251" s="117"/>
      <c r="AT251" s="99">
        <v>19</v>
      </c>
      <c r="AU251" s="130"/>
      <c r="AV251" s="262">
        <v>207</v>
      </c>
      <c r="AW251" s="267">
        <v>3657</v>
      </c>
      <c r="AX251" s="124"/>
      <c r="AY251" s="255">
        <v>4.1101190476190474</v>
      </c>
      <c r="AZ251" s="259">
        <v>22.641003166198594</v>
      </c>
      <c r="BA251" s="160">
        <v>-786.98386655728734</v>
      </c>
      <c r="BB251" s="130"/>
      <c r="BC251" s="130"/>
      <c r="BD251" s="130"/>
      <c r="BE251" s="128">
        <v>63.828183873398643</v>
      </c>
      <c r="BF251" s="160">
        <v>1528.5753349740223</v>
      </c>
      <c r="BG251" s="129">
        <v>47.421480006128391</v>
      </c>
      <c r="BH251" s="131">
        <v>16063.166529942577</v>
      </c>
      <c r="BI251" s="124"/>
      <c r="BJ251" s="117">
        <v>30846</v>
      </c>
      <c r="BK251" s="117">
        <v>54989</v>
      </c>
      <c r="BL251" s="161">
        <v>8</v>
      </c>
      <c r="BM251" s="161">
        <v>-24135</v>
      </c>
      <c r="BN251" s="117">
        <v>11839</v>
      </c>
      <c r="BO251" s="117">
        <v>13218</v>
      </c>
      <c r="BP251" s="136"/>
      <c r="BR251" s="160">
        <v>-40</v>
      </c>
      <c r="BS251" s="160">
        <v>453</v>
      </c>
      <c r="BT251" s="161">
        <v>1335</v>
      </c>
      <c r="BU251" s="125">
        <v>1873</v>
      </c>
      <c r="BV251" s="160">
        <v>151</v>
      </c>
      <c r="BX251" s="161">
        <v>-387</v>
      </c>
      <c r="BY251" s="160">
        <v>-1</v>
      </c>
      <c r="BZ251" s="160">
        <v>16</v>
      </c>
      <c r="CA251" s="161">
        <v>0</v>
      </c>
      <c r="CB251" s="161">
        <v>22</v>
      </c>
      <c r="CC251" s="160">
        <v>-350</v>
      </c>
      <c r="CD251" s="160">
        <v>9898</v>
      </c>
      <c r="CE251" s="116">
        <v>1395</v>
      </c>
      <c r="CF251" s="150"/>
      <c r="CG251" s="161">
        <v>-663</v>
      </c>
      <c r="CH251" s="160">
        <v>-290</v>
      </c>
      <c r="CI251" s="159">
        <v>-2289</v>
      </c>
      <c r="CK251" s="124"/>
      <c r="CL251" s="161"/>
      <c r="CM251" s="124"/>
      <c r="CN251" s="265">
        <v>19</v>
      </c>
      <c r="CO251" s="130"/>
      <c r="CP251" s="116">
        <v>177</v>
      </c>
      <c r="CQ251" s="267">
        <v>3631</v>
      </c>
      <c r="CR251" s="124"/>
      <c r="CS251" s="268">
        <v>16.325471698113208</v>
      </c>
      <c r="CT251" s="269">
        <v>23.368689581095595</v>
      </c>
      <c r="CU251" s="160">
        <v>-371.79840264389975</v>
      </c>
      <c r="CV251" s="130"/>
      <c r="CW251" s="130"/>
      <c r="CX251" s="130"/>
      <c r="CY251" s="269">
        <v>62.887244147640978</v>
      </c>
      <c r="CZ251" s="125">
        <v>2761.7736160837235</v>
      </c>
      <c r="DA251" s="125">
        <v>62.163006742412669</v>
      </c>
      <c r="DB251" s="273">
        <v>16216.193885981824</v>
      </c>
      <c r="DC251" s="124"/>
      <c r="DD251" s="117">
        <v>32315</v>
      </c>
      <c r="DE251" s="117">
        <v>56437</v>
      </c>
      <c r="DF251" s="117">
        <v>1</v>
      </c>
      <c r="DG251" s="117">
        <v>-24121</v>
      </c>
      <c r="DH251" s="117">
        <v>12624</v>
      </c>
      <c r="DI251" s="117">
        <v>14645</v>
      </c>
      <c r="DJ251" s="136"/>
      <c r="DL251" s="160">
        <v>-26</v>
      </c>
      <c r="DM251" s="160">
        <v>303</v>
      </c>
      <c r="DN251" s="161">
        <v>3425</v>
      </c>
      <c r="DO251" s="116">
        <v>2091</v>
      </c>
      <c r="DP251" s="160">
        <v>52</v>
      </c>
      <c r="DR251" s="161">
        <v>1386</v>
      </c>
      <c r="DS251" s="116">
        <v>-1</v>
      </c>
      <c r="DT251" s="116">
        <v>0</v>
      </c>
      <c r="DU251" s="117">
        <v>1</v>
      </c>
      <c r="DV251" s="117">
        <v>-10</v>
      </c>
      <c r="DW251" s="160">
        <v>1374</v>
      </c>
      <c r="DX251" s="160">
        <v>11430</v>
      </c>
      <c r="DY251" s="116">
        <v>3505</v>
      </c>
      <c r="DZ251" s="150"/>
      <c r="EA251" s="117">
        <v>1644</v>
      </c>
      <c r="EB251" s="116">
        <v>-176</v>
      </c>
      <c r="EC251" s="159">
        <v>1505</v>
      </c>
      <c r="EE251" s="125"/>
      <c r="EF251" s="161"/>
      <c r="EG251" s="124"/>
      <c r="EH251" s="253">
        <v>19</v>
      </c>
      <c r="EI251" s="130"/>
      <c r="EJ251" s="125">
        <v>156</v>
      </c>
      <c r="EK251" s="116"/>
      <c r="EL251" s="159"/>
      <c r="EN251" s="116"/>
      <c r="EO251" s="116"/>
      <c r="EP251" s="159"/>
      <c r="EQ251" s="159">
        <v>-5551</v>
      </c>
      <c r="ER251" s="116">
        <v>6</v>
      </c>
      <c r="ES251" s="116">
        <v>43</v>
      </c>
      <c r="ET251" s="160">
        <v>-3401</v>
      </c>
      <c r="EU251" s="116">
        <v>2</v>
      </c>
      <c r="EV251" s="116">
        <v>-285</v>
      </c>
      <c r="EW251" s="160">
        <v>-2184</v>
      </c>
      <c r="EX251" s="160">
        <v>4</v>
      </c>
      <c r="EY251" s="160">
        <v>180</v>
      </c>
      <c r="EZ251" s="116">
        <v>2039</v>
      </c>
      <c r="FA251" s="116">
        <v>0</v>
      </c>
      <c r="FB251" s="116">
        <v>7</v>
      </c>
      <c r="FC251" s="160">
        <v>1502</v>
      </c>
      <c r="FD251" s="116">
        <v>1</v>
      </c>
      <c r="FE251" s="116">
        <v>463</v>
      </c>
      <c r="FF251" s="3">
        <v>4946</v>
      </c>
      <c r="FG251" s="3">
        <v>4401</v>
      </c>
      <c r="FH251" s="3">
        <v>545</v>
      </c>
      <c r="FI251" s="3">
        <v>56</v>
      </c>
      <c r="FJ251" s="125">
        <v>6148</v>
      </c>
      <c r="FK251" s="160">
        <v>4222</v>
      </c>
      <c r="FL251" s="125">
        <v>1926</v>
      </c>
      <c r="FM251" s="116">
        <v>50</v>
      </c>
      <c r="FN251" s="125">
        <v>6326</v>
      </c>
      <c r="FO251" s="116">
        <v>3868</v>
      </c>
      <c r="FP251" s="116">
        <v>2458</v>
      </c>
      <c r="FQ251" s="116">
        <v>1644</v>
      </c>
      <c r="FR251" s="153">
        <v>103</v>
      </c>
      <c r="FS251" s="153">
        <v>103</v>
      </c>
      <c r="FT251" s="276">
        <v>9</v>
      </c>
      <c r="FU251" s="3">
        <v>13027</v>
      </c>
      <c r="FV251" s="159">
        <v>10029</v>
      </c>
      <c r="FW251" s="170"/>
      <c r="FZ251" s="155"/>
      <c r="GA251" s="2"/>
      <c r="GD251" s="163"/>
      <c r="GE251" s="2"/>
      <c r="GF251" s="2"/>
    </row>
    <row r="252" spans="1:188" ht="14.5" x14ac:dyDescent="0.35">
      <c r="A252" s="72">
        <v>783</v>
      </c>
      <c r="B252" s="70" t="s">
        <v>241</v>
      </c>
      <c r="C252" s="158">
        <v>6811</v>
      </c>
      <c r="D252" s="171"/>
      <c r="E252" s="128">
        <v>1.1062558943728387</v>
      </c>
      <c r="F252" s="128">
        <v>48.048027325892321</v>
      </c>
      <c r="G252" s="129">
        <v>-3350.9029511085009</v>
      </c>
      <c r="H252" s="217"/>
      <c r="I252" s="172"/>
      <c r="J252" s="218"/>
      <c r="K252" s="128">
        <v>42.215819693904656</v>
      </c>
      <c r="L252" s="129">
        <v>337.24856849214507</v>
      </c>
      <c r="M252" s="129">
        <v>13.803177477774121</v>
      </c>
      <c r="N252" s="129">
        <v>8917.9268829834091</v>
      </c>
      <c r="O252" s="129"/>
      <c r="P252" s="117">
        <v>17136</v>
      </c>
      <c r="Q252" s="161">
        <v>54511</v>
      </c>
      <c r="R252" s="161">
        <v>0</v>
      </c>
      <c r="S252" s="161">
        <v>-37375</v>
      </c>
      <c r="T252" s="124">
        <v>27636</v>
      </c>
      <c r="U252" s="124">
        <v>13195</v>
      </c>
      <c r="V252" s="136"/>
      <c r="X252" s="116">
        <v>-134</v>
      </c>
      <c r="Y252" s="116">
        <v>55</v>
      </c>
      <c r="Z252" s="161">
        <v>3377</v>
      </c>
      <c r="AA252" s="116">
        <v>2890</v>
      </c>
      <c r="AB252" s="116">
        <v>0</v>
      </c>
      <c r="AD252" s="161">
        <v>487</v>
      </c>
      <c r="AE252" s="116">
        <v>2</v>
      </c>
      <c r="AF252" s="116">
        <v>0</v>
      </c>
      <c r="AG252" s="116">
        <v>0</v>
      </c>
      <c r="AH252" s="116">
        <v>0</v>
      </c>
      <c r="AI252" s="160">
        <v>489</v>
      </c>
      <c r="AJ252" s="161">
        <v>-1839</v>
      </c>
      <c r="AK252" s="161">
        <v>3388</v>
      </c>
      <c r="AL252" s="150"/>
      <c r="AM252" s="161">
        <v>501</v>
      </c>
      <c r="AN252" s="161">
        <v>-3039</v>
      </c>
      <c r="AO252" s="160">
        <v>570</v>
      </c>
      <c r="AQ252" s="160"/>
      <c r="AR252" s="117"/>
      <c r="AS252" s="117"/>
      <c r="AT252" s="99">
        <v>21.5</v>
      </c>
      <c r="AU252" s="130"/>
      <c r="AV252" s="262">
        <v>145</v>
      </c>
      <c r="AW252" s="267">
        <v>6721</v>
      </c>
      <c r="AX252" s="124"/>
      <c r="AY252" s="255">
        <v>0.93941286695815118</v>
      </c>
      <c r="AZ252" s="259">
        <v>51.037387551349383</v>
      </c>
      <c r="BA252" s="160">
        <v>-3657.789019491147</v>
      </c>
      <c r="BB252" s="130"/>
      <c r="BC252" s="130"/>
      <c r="BD252" s="130"/>
      <c r="BE252" s="128">
        <v>38.985581347786074</v>
      </c>
      <c r="BF252" s="160">
        <v>321.82710906115165</v>
      </c>
      <c r="BG252" s="129">
        <v>13.338433843384339</v>
      </c>
      <c r="BH252" s="131">
        <v>9091.6530278232422</v>
      </c>
      <c r="BI252" s="124"/>
      <c r="BJ252" s="117">
        <v>17519</v>
      </c>
      <c r="BK252" s="117">
        <v>56232</v>
      </c>
      <c r="BL252" s="161">
        <v>0</v>
      </c>
      <c r="BM252" s="161">
        <v>-38713</v>
      </c>
      <c r="BN252" s="117">
        <v>26559</v>
      </c>
      <c r="BO252" s="117">
        <v>13615</v>
      </c>
      <c r="BP252" s="136"/>
      <c r="BR252" s="160">
        <v>-109</v>
      </c>
      <c r="BS252" s="160">
        <v>35</v>
      </c>
      <c r="BT252" s="161">
        <v>1387</v>
      </c>
      <c r="BU252" s="125">
        <v>3038</v>
      </c>
      <c r="BV252" s="160">
        <v>0</v>
      </c>
      <c r="BX252" s="161">
        <v>-1651</v>
      </c>
      <c r="BY252" s="160">
        <v>5</v>
      </c>
      <c r="BZ252" s="160">
        <v>0</v>
      </c>
      <c r="CA252" s="160">
        <v>-43</v>
      </c>
      <c r="CB252" s="160">
        <v>0</v>
      </c>
      <c r="CC252" s="160">
        <v>-1603</v>
      </c>
      <c r="CD252" s="160">
        <v>-3460</v>
      </c>
      <c r="CE252" s="116">
        <v>1530</v>
      </c>
      <c r="CF252" s="150"/>
      <c r="CG252" s="161">
        <v>34</v>
      </c>
      <c r="CH252" s="160">
        <v>-1484</v>
      </c>
      <c r="CI252" s="159">
        <v>-1641</v>
      </c>
      <c r="CK252" s="124"/>
      <c r="CL252" s="161"/>
      <c r="CM252" s="124"/>
      <c r="CN252" s="265">
        <v>21.5</v>
      </c>
      <c r="CO252" s="130"/>
      <c r="CP252" s="116">
        <v>239</v>
      </c>
      <c r="CQ252" s="267">
        <v>6646</v>
      </c>
      <c r="CR252" s="124"/>
      <c r="CS252" s="268">
        <v>3.9629343629343627</v>
      </c>
      <c r="CT252" s="269">
        <v>46.432155923203936</v>
      </c>
      <c r="CU252" s="160">
        <v>-3337.6467047848332</v>
      </c>
      <c r="CV252" s="130"/>
      <c r="CW252" s="130"/>
      <c r="CX252" s="130"/>
      <c r="CY252" s="269">
        <v>42.138678699063632</v>
      </c>
      <c r="CZ252" s="125">
        <v>520.9148359915738</v>
      </c>
      <c r="DA252" s="125">
        <v>20.627999608214438</v>
      </c>
      <c r="DB252" s="273">
        <v>9217.2735479987969</v>
      </c>
      <c r="DC252" s="124"/>
      <c r="DD252" s="117">
        <v>17185</v>
      </c>
      <c r="DE252" s="117">
        <v>56696</v>
      </c>
      <c r="DF252" s="117">
        <v>0</v>
      </c>
      <c r="DG252" s="117">
        <v>-39511</v>
      </c>
      <c r="DH252" s="117">
        <v>27294</v>
      </c>
      <c r="DI252" s="117">
        <v>17295</v>
      </c>
      <c r="DJ252" s="136"/>
      <c r="DL252" s="160">
        <v>-84</v>
      </c>
      <c r="DM252" s="160">
        <v>36</v>
      </c>
      <c r="DN252" s="161">
        <v>5030</v>
      </c>
      <c r="DO252" s="116">
        <v>3171</v>
      </c>
      <c r="DP252" s="160">
        <v>0</v>
      </c>
      <c r="DR252" s="161">
        <v>1859</v>
      </c>
      <c r="DS252" s="116">
        <v>6</v>
      </c>
      <c r="DT252" s="116">
        <v>0</v>
      </c>
      <c r="DU252" s="116">
        <v>-34</v>
      </c>
      <c r="DV252" s="116">
        <v>-21</v>
      </c>
      <c r="DW252" s="160">
        <v>1878</v>
      </c>
      <c r="DX252" s="160">
        <v>-1505</v>
      </c>
      <c r="DY252" s="116">
        <v>5060</v>
      </c>
      <c r="DZ252" s="150"/>
      <c r="EA252" s="117">
        <v>-340</v>
      </c>
      <c r="EB252" s="116">
        <v>-1193</v>
      </c>
      <c r="EC252" s="159">
        <v>2262</v>
      </c>
      <c r="EE252" s="125"/>
      <c r="EF252" s="161"/>
      <c r="EG252" s="124"/>
      <c r="EH252" s="253">
        <v>21.5</v>
      </c>
      <c r="EI252" s="130"/>
      <c r="EJ252" s="125">
        <v>238</v>
      </c>
      <c r="EK252" s="116"/>
      <c r="EL252" s="159"/>
      <c r="EN252" s="116"/>
      <c r="EO252" s="116"/>
      <c r="EP252" s="159"/>
      <c r="EQ252" s="159">
        <v>-3035</v>
      </c>
      <c r="ER252" s="116">
        <v>46</v>
      </c>
      <c r="ES252" s="116">
        <v>171</v>
      </c>
      <c r="ET252" s="160">
        <v>-3263</v>
      </c>
      <c r="EU252" s="116">
        <v>27</v>
      </c>
      <c r="EV252" s="116">
        <v>65</v>
      </c>
      <c r="EW252" s="160">
        <v>-3259</v>
      </c>
      <c r="EX252" s="160">
        <v>123</v>
      </c>
      <c r="EY252" s="160">
        <v>338</v>
      </c>
      <c r="EZ252" s="116">
        <v>322</v>
      </c>
      <c r="FA252" s="116">
        <v>0</v>
      </c>
      <c r="FB252" s="116">
        <v>195</v>
      </c>
      <c r="FC252" s="160">
        <v>3000</v>
      </c>
      <c r="FD252" s="116">
        <v>188</v>
      </c>
      <c r="FE252" s="116">
        <v>-1</v>
      </c>
      <c r="FF252" s="3">
        <v>17774</v>
      </c>
      <c r="FG252" s="3">
        <v>16301</v>
      </c>
      <c r="FH252" s="3">
        <v>1473</v>
      </c>
      <c r="FI252" s="3">
        <v>0</v>
      </c>
      <c r="FJ252" s="125">
        <v>19484</v>
      </c>
      <c r="FK252" s="160">
        <v>15373</v>
      </c>
      <c r="FL252" s="125">
        <v>4111</v>
      </c>
      <c r="FM252" s="116">
        <v>0</v>
      </c>
      <c r="FN252" s="125">
        <v>18501</v>
      </c>
      <c r="FO252" s="116">
        <v>14395</v>
      </c>
      <c r="FP252" s="116">
        <v>4106</v>
      </c>
      <c r="FQ252" s="116">
        <v>-340</v>
      </c>
      <c r="FR252" s="153">
        <v>514</v>
      </c>
      <c r="FS252" s="153">
        <v>476</v>
      </c>
      <c r="FT252" s="276">
        <v>437</v>
      </c>
      <c r="FU252" s="3">
        <v>649</v>
      </c>
      <c r="FV252" s="159">
        <v>522</v>
      </c>
      <c r="FW252" s="170"/>
      <c r="FZ252" s="155"/>
      <c r="GA252" s="2"/>
      <c r="GD252" s="163"/>
      <c r="GE252" s="2"/>
      <c r="GF252" s="2"/>
    </row>
    <row r="253" spans="1:188" ht="14.5" x14ac:dyDescent="0.35">
      <c r="A253" s="72">
        <v>831</v>
      </c>
      <c r="B253" s="70" t="s">
        <v>243</v>
      </c>
      <c r="C253" s="158">
        <v>4715</v>
      </c>
      <c r="D253" s="171"/>
      <c r="E253" s="128">
        <v>0.43411927877947293</v>
      </c>
      <c r="F253" s="128">
        <v>74.125890033895217</v>
      </c>
      <c r="G253" s="129">
        <v>-5954.6129374337215</v>
      </c>
      <c r="H253" s="216"/>
      <c r="I253" s="172"/>
      <c r="J253" s="218"/>
      <c r="K253" s="128">
        <v>16.258892937706054</v>
      </c>
      <c r="L253" s="129">
        <v>529.79851537645811</v>
      </c>
      <c r="M253" s="129">
        <v>19.386987029555602</v>
      </c>
      <c r="N253" s="129">
        <v>9974.5493107104994</v>
      </c>
      <c r="O253" s="129"/>
      <c r="P253" s="117">
        <v>18421</v>
      </c>
      <c r="Q253" s="161">
        <v>42565</v>
      </c>
      <c r="R253" s="161">
        <v>-129</v>
      </c>
      <c r="S253" s="161">
        <v>-24273</v>
      </c>
      <c r="T253" s="124">
        <v>19008</v>
      </c>
      <c r="U253" s="124">
        <v>6530</v>
      </c>
      <c r="V253" s="136"/>
      <c r="X253" s="116">
        <v>-212</v>
      </c>
      <c r="Y253" s="116">
        <v>-17</v>
      </c>
      <c r="Z253" s="161">
        <v>1036</v>
      </c>
      <c r="AA253" s="116">
        <v>2771</v>
      </c>
      <c r="AB253" s="116">
        <v>0</v>
      </c>
      <c r="AD253" s="161">
        <v>-1735</v>
      </c>
      <c r="AE253" s="116">
        <v>0</v>
      </c>
      <c r="AF253" s="116">
        <v>188</v>
      </c>
      <c r="AG253" s="116">
        <v>0</v>
      </c>
      <c r="AH253" s="116">
        <v>0</v>
      </c>
      <c r="AI253" s="160">
        <v>-1547</v>
      </c>
      <c r="AJ253" s="161">
        <v>-2009</v>
      </c>
      <c r="AK253" s="161">
        <v>-225</v>
      </c>
      <c r="AL253" s="150"/>
      <c r="AM253" s="161">
        <v>-57</v>
      </c>
      <c r="AN253" s="161">
        <v>-2668</v>
      </c>
      <c r="AO253" s="160">
        <v>-1425</v>
      </c>
      <c r="AQ253" s="160"/>
      <c r="AR253" s="117"/>
      <c r="AS253" s="117"/>
      <c r="AT253" s="99">
        <v>20.5</v>
      </c>
      <c r="AU253" s="130"/>
      <c r="AV253" s="262">
        <v>247</v>
      </c>
      <c r="AW253" s="267">
        <v>4671</v>
      </c>
      <c r="AX253" s="124"/>
      <c r="AY253" s="255">
        <v>0.76264462809917355</v>
      </c>
      <c r="AZ253" s="259">
        <v>66.655663387689529</v>
      </c>
      <c r="BA253" s="160">
        <v>-5686.1485763219871</v>
      </c>
      <c r="BB253" s="130"/>
      <c r="BC253" s="130"/>
      <c r="BD253" s="130"/>
      <c r="BE253" s="128">
        <v>17.816270519393093</v>
      </c>
      <c r="BF253" s="160">
        <v>309.35559837293943</v>
      </c>
      <c r="BG253" s="129">
        <v>19.257980744869521</v>
      </c>
      <c r="BH253" s="131">
        <v>10140.012845215157</v>
      </c>
      <c r="BI253" s="124"/>
      <c r="BJ253" s="117">
        <v>18707</v>
      </c>
      <c r="BK253" s="117">
        <v>43053</v>
      </c>
      <c r="BL253" s="161">
        <v>-70</v>
      </c>
      <c r="BM253" s="161">
        <v>-24416</v>
      </c>
      <c r="BN253" s="117">
        <v>20225</v>
      </c>
      <c r="BO253" s="117">
        <v>6509</v>
      </c>
      <c r="BP253" s="136"/>
      <c r="BR253" s="160">
        <v>-210</v>
      </c>
      <c r="BS253" s="160">
        <v>-12</v>
      </c>
      <c r="BT253" s="161">
        <v>2096</v>
      </c>
      <c r="BU253" s="125">
        <v>2384</v>
      </c>
      <c r="BV253" s="160">
        <v>204</v>
      </c>
      <c r="BX253" s="161">
        <v>-84</v>
      </c>
      <c r="BY253" s="160">
        <v>0</v>
      </c>
      <c r="BZ253" s="160">
        <v>101</v>
      </c>
      <c r="CA253" s="160">
        <v>0</v>
      </c>
      <c r="CB253" s="160">
        <v>0</v>
      </c>
      <c r="CC253" s="160">
        <v>17</v>
      </c>
      <c r="CD253" s="160">
        <v>-2343</v>
      </c>
      <c r="CE253" s="116">
        <v>2156</v>
      </c>
      <c r="CF253" s="150"/>
      <c r="CG253" s="161">
        <v>-274</v>
      </c>
      <c r="CH253" s="160">
        <v>-2814</v>
      </c>
      <c r="CI253" s="159">
        <v>1351</v>
      </c>
      <c r="CK253" s="124"/>
      <c r="CL253" s="161"/>
      <c r="CM253" s="124"/>
      <c r="CN253" s="265">
        <v>21</v>
      </c>
      <c r="CO253" s="130"/>
      <c r="CP253" s="116">
        <v>142</v>
      </c>
      <c r="CQ253" s="267">
        <v>4628</v>
      </c>
      <c r="CR253" s="124"/>
      <c r="CS253" s="268">
        <v>1.4655172413793103</v>
      </c>
      <c r="CT253" s="269">
        <v>60.103209825575398</v>
      </c>
      <c r="CU253" s="160">
        <v>-5199.2221261884188</v>
      </c>
      <c r="CV253" s="130"/>
      <c r="CW253" s="130"/>
      <c r="CX253" s="130"/>
      <c r="CY253" s="269">
        <v>19.486227012321134</v>
      </c>
      <c r="CZ253" s="125">
        <v>632.23854796888497</v>
      </c>
      <c r="DA253" s="125">
        <v>22.036314866398431</v>
      </c>
      <c r="DB253" s="273">
        <v>10472.126188418324</v>
      </c>
      <c r="DC253" s="124"/>
      <c r="DD253" s="117">
        <v>19528</v>
      </c>
      <c r="DE253" s="117">
        <v>44671</v>
      </c>
      <c r="DF253" s="117">
        <v>-1</v>
      </c>
      <c r="DG253" s="117">
        <v>-25144</v>
      </c>
      <c r="DH253" s="117">
        <v>20263</v>
      </c>
      <c r="DI253" s="117">
        <v>8654</v>
      </c>
      <c r="DJ253" s="136"/>
      <c r="DL253" s="160">
        <v>-189</v>
      </c>
      <c r="DM253" s="160">
        <v>-121</v>
      </c>
      <c r="DN253" s="161">
        <v>3463</v>
      </c>
      <c r="DO253" s="116">
        <v>2324</v>
      </c>
      <c r="DP253" s="160">
        <v>26</v>
      </c>
      <c r="DR253" s="161">
        <v>1165</v>
      </c>
      <c r="DS253" s="116">
        <v>0</v>
      </c>
      <c r="DT253" s="116">
        <v>3</v>
      </c>
      <c r="DU253" s="116">
        <v>0</v>
      </c>
      <c r="DV253" s="116">
        <v>1</v>
      </c>
      <c r="DW253" s="160">
        <v>1169</v>
      </c>
      <c r="DX253" s="160">
        <v>-1108</v>
      </c>
      <c r="DY253" s="116">
        <v>3528</v>
      </c>
      <c r="DZ253" s="150"/>
      <c r="EA253" s="117">
        <v>155</v>
      </c>
      <c r="EB253" s="116">
        <v>-2302</v>
      </c>
      <c r="EC253" s="159">
        <v>2611</v>
      </c>
      <c r="EE253" s="125"/>
      <c r="EF253" s="161"/>
      <c r="EG253" s="124"/>
      <c r="EH253" s="253">
        <v>21</v>
      </c>
      <c r="EI253" s="130"/>
      <c r="EJ253" s="125">
        <v>240</v>
      </c>
      <c r="EK253" s="116"/>
      <c r="EL253" s="159"/>
      <c r="EN253" s="116"/>
      <c r="EO253" s="116"/>
      <c r="EP253" s="159"/>
      <c r="EQ253" s="159">
        <v>-1547</v>
      </c>
      <c r="ER253" s="116">
        <v>28</v>
      </c>
      <c r="ES253" s="116">
        <v>319</v>
      </c>
      <c r="ET253" s="160">
        <v>-1247</v>
      </c>
      <c r="EU253" s="116">
        <v>32</v>
      </c>
      <c r="EV253" s="116">
        <v>410</v>
      </c>
      <c r="EW253" s="160">
        <v>-1141</v>
      </c>
      <c r="EX253" s="160">
        <v>17</v>
      </c>
      <c r="EY253" s="160">
        <v>207</v>
      </c>
      <c r="EZ253" s="116">
        <v>2857</v>
      </c>
      <c r="FA253" s="116">
        <v>0</v>
      </c>
      <c r="FB253" s="116">
        <v>1800</v>
      </c>
      <c r="FC253" s="160">
        <v>11</v>
      </c>
      <c r="FD253" s="116">
        <v>169</v>
      </c>
      <c r="FE253" s="116">
        <v>338</v>
      </c>
      <c r="FF253" s="3">
        <v>26486</v>
      </c>
      <c r="FG253" s="3">
        <v>23994</v>
      </c>
      <c r="FH253" s="3">
        <v>2492</v>
      </c>
      <c r="FI253" s="3">
        <v>29</v>
      </c>
      <c r="FJ253" s="125">
        <v>25793</v>
      </c>
      <c r="FK253" s="160">
        <v>23291</v>
      </c>
      <c r="FL253" s="125">
        <v>2502</v>
      </c>
      <c r="FM253" s="116">
        <v>32</v>
      </c>
      <c r="FN253" s="125">
        <v>23998</v>
      </c>
      <c r="FO253" s="116">
        <v>21198</v>
      </c>
      <c r="FP253" s="116">
        <v>2800</v>
      </c>
      <c r="FQ253" s="116">
        <v>155</v>
      </c>
      <c r="FR253" s="153">
        <v>269</v>
      </c>
      <c r="FS253" s="153">
        <v>156</v>
      </c>
      <c r="FT253" s="276">
        <v>126</v>
      </c>
      <c r="FU253" s="3">
        <v>2824</v>
      </c>
      <c r="FV253" s="159">
        <v>2365</v>
      </c>
      <c r="FW253" s="170"/>
      <c r="FZ253" s="155"/>
      <c r="GA253" s="2"/>
      <c r="GD253" s="163"/>
      <c r="GE253" s="2"/>
      <c r="GF253" s="2"/>
    </row>
    <row r="254" spans="1:188" ht="14.5" x14ac:dyDescent="0.35">
      <c r="A254" s="72">
        <v>832</v>
      </c>
      <c r="B254" s="70" t="s">
        <v>244</v>
      </c>
      <c r="C254" s="158">
        <v>4024</v>
      </c>
      <c r="D254" s="171"/>
      <c r="E254" s="128">
        <v>1.0666666666666667</v>
      </c>
      <c r="F254" s="128">
        <v>44.355657586861504</v>
      </c>
      <c r="G254" s="129">
        <v>-3426.6898608349902</v>
      </c>
      <c r="H254" s="216"/>
      <c r="I254" s="172"/>
      <c r="J254" s="218"/>
      <c r="K254" s="128">
        <v>54.23260433083616</v>
      </c>
      <c r="L254" s="129">
        <v>874.00596421471175</v>
      </c>
      <c r="M254" s="129">
        <v>25.684887652814179</v>
      </c>
      <c r="N254" s="129">
        <v>12420.228628230616</v>
      </c>
      <c r="O254" s="129"/>
      <c r="P254" s="117">
        <v>15574</v>
      </c>
      <c r="Q254" s="161">
        <v>43727</v>
      </c>
      <c r="R254" s="161">
        <v>92</v>
      </c>
      <c r="S254" s="161">
        <v>-28061</v>
      </c>
      <c r="T254" s="124">
        <v>11792</v>
      </c>
      <c r="U254" s="124">
        <v>17936</v>
      </c>
      <c r="V254" s="136"/>
      <c r="X254" s="116">
        <v>-89</v>
      </c>
      <c r="Y254" s="116">
        <v>45</v>
      </c>
      <c r="Z254" s="161">
        <v>1623</v>
      </c>
      <c r="AA254" s="116">
        <v>2860</v>
      </c>
      <c r="AB254" s="117">
        <v>236</v>
      </c>
      <c r="AD254" s="161">
        <v>-1001</v>
      </c>
      <c r="AE254" s="117">
        <v>-8</v>
      </c>
      <c r="AF254" s="117">
        <v>-5</v>
      </c>
      <c r="AG254" s="116">
        <v>1</v>
      </c>
      <c r="AH254" s="116">
        <v>43</v>
      </c>
      <c r="AI254" s="160">
        <v>-970</v>
      </c>
      <c r="AJ254" s="161">
        <v>12321</v>
      </c>
      <c r="AK254" s="161">
        <v>1608</v>
      </c>
      <c r="AL254" s="150"/>
      <c r="AM254" s="161">
        <v>190</v>
      </c>
      <c r="AN254" s="161">
        <v>-1516</v>
      </c>
      <c r="AO254" s="160">
        <v>-2483</v>
      </c>
      <c r="AQ254" s="160"/>
      <c r="AR254" s="117"/>
      <c r="AS254" s="117"/>
      <c r="AT254" s="99">
        <v>20.5</v>
      </c>
      <c r="AU254" s="130"/>
      <c r="AV254" s="262">
        <v>180</v>
      </c>
      <c r="AW254" s="267">
        <v>3976</v>
      </c>
      <c r="AX254" s="124"/>
      <c r="AY254" s="255">
        <v>2.5109104589917233</v>
      </c>
      <c r="AZ254" s="259">
        <v>49.50764446747862</v>
      </c>
      <c r="BA254" s="160">
        <v>-4060.3621730382297</v>
      </c>
      <c r="BB254" s="130"/>
      <c r="BC254" s="130"/>
      <c r="BD254" s="130"/>
      <c r="BE254" s="128">
        <v>51.235112031323673</v>
      </c>
      <c r="BF254" s="160">
        <v>866.70020120724348</v>
      </c>
      <c r="BG254" s="129">
        <v>25.643328006392327</v>
      </c>
      <c r="BH254" s="131">
        <v>12590.543259557346</v>
      </c>
      <c r="BI254" s="124"/>
      <c r="BJ254" s="117">
        <v>16270</v>
      </c>
      <c r="BK254" s="117">
        <v>43064</v>
      </c>
      <c r="BL254" s="161">
        <v>50</v>
      </c>
      <c r="BM254" s="161">
        <v>-26744</v>
      </c>
      <c r="BN254" s="117">
        <v>11979</v>
      </c>
      <c r="BO254" s="117">
        <v>18059</v>
      </c>
      <c r="BP254" s="136"/>
      <c r="BR254" s="160">
        <v>-91</v>
      </c>
      <c r="BS254" s="160">
        <v>42</v>
      </c>
      <c r="BT254" s="161">
        <v>3245</v>
      </c>
      <c r="BU254" s="125">
        <v>3786</v>
      </c>
      <c r="BV254" s="161">
        <v>0</v>
      </c>
      <c r="BW254" s="117"/>
      <c r="BX254" s="161">
        <v>-541</v>
      </c>
      <c r="BY254" s="161">
        <v>-8</v>
      </c>
      <c r="BZ254" s="160">
        <v>-2</v>
      </c>
      <c r="CA254" s="160">
        <v>-1</v>
      </c>
      <c r="CB254" s="160">
        <v>-25</v>
      </c>
      <c r="CC254" s="160">
        <v>-575</v>
      </c>
      <c r="CD254" s="160">
        <v>11835</v>
      </c>
      <c r="CE254" s="116">
        <v>3101</v>
      </c>
      <c r="CF254" s="150"/>
      <c r="CG254" s="160">
        <v>-427</v>
      </c>
      <c r="CH254" s="160">
        <v>-1237</v>
      </c>
      <c r="CI254" s="159">
        <v>-2522</v>
      </c>
      <c r="CK254" s="124"/>
      <c r="CL254" s="161"/>
      <c r="CM254" s="124"/>
      <c r="CN254" s="265">
        <v>20.5</v>
      </c>
      <c r="CO254" s="130"/>
      <c r="CP254" s="116">
        <v>37</v>
      </c>
      <c r="CQ254" s="267">
        <v>3916</v>
      </c>
      <c r="CR254" s="124"/>
      <c r="CS254" s="268">
        <v>2.2924643584521385</v>
      </c>
      <c r="CT254" s="269">
        <v>47.92616501916482</v>
      </c>
      <c r="CU254" s="160">
        <v>-4442.0326864147091</v>
      </c>
      <c r="CV254" s="130"/>
      <c r="CW254" s="130"/>
      <c r="CX254" s="130"/>
      <c r="CY254" s="269">
        <v>52.376151236063983</v>
      </c>
      <c r="CZ254" s="125">
        <v>841.41981613891721</v>
      </c>
      <c r="DA254" s="125">
        <v>22.617726708541767</v>
      </c>
      <c r="DB254" s="273">
        <v>13578.651685393259</v>
      </c>
      <c r="DC254" s="124"/>
      <c r="DD254" s="117">
        <v>16624</v>
      </c>
      <c r="DE254" s="117">
        <v>44025</v>
      </c>
      <c r="DF254" s="117">
        <v>56</v>
      </c>
      <c r="DG254" s="117">
        <v>-27345</v>
      </c>
      <c r="DH254" s="117">
        <v>12483</v>
      </c>
      <c r="DI254" s="117">
        <v>20463</v>
      </c>
      <c r="DJ254" s="136"/>
      <c r="DL254" s="160">
        <v>-87</v>
      </c>
      <c r="DM254" s="160">
        <v>26</v>
      </c>
      <c r="DN254" s="161">
        <v>5540</v>
      </c>
      <c r="DO254" s="116">
        <v>3485</v>
      </c>
      <c r="DP254" s="161">
        <v>0</v>
      </c>
      <c r="DQ254" s="117"/>
      <c r="DR254" s="161">
        <v>2055</v>
      </c>
      <c r="DS254" s="117">
        <v>-6</v>
      </c>
      <c r="DT254" s="116">
        <v>-12</v>
      </c>
      <c r="DU254" s="116">
        <v>1</v>
      </c>
      <c r="DV254" s="116">
        <v>-34</v>
      </c>
      <c r="DW254" s="160">
        <v>2002</v>
      </c>
      <c r="DX254" s="160">
        <v>13832</v>
      </c>
      <c r="DY254" s="116">
        <v>5497</v>
      </c>
      <c r="DZ254" s="150"/>
      <c r="EA254" s="116">
        <v>270</v>
      </c>
      <c r="EB254" s="116">
        <v>-2367</v>
      </c>
      <c r="EC254" s="159">
        <v>-1127</v>
      </c>
      <c r="EE254" s="125"/>
      <c r="EF254" s="161"/>
      <c r="EG254" s="124"/>
      <c r="EH254" s="253">
        <v>20.5</v>
      </c>
      <c r="EI254" s="130"/>
      <c r="EJ254" s="125">
        <v>30</v>
      </c>
      <c r="EK254" s="116"/>
      <c r="EL254" s="159"/>
      <c r="EN254" s="116"/>
      <c r="EO254" s="116"/>
      <c r="EP254" s="159"/>
      <c r="EQ254" s="159">
        <v>-4639</v>
      </c>
      <c r="ER254" s="116">
        <v>220</v>
      </c>
      <c r="ES254" s="116">
        <v>328</v>
      </c>
      <c r="ET254" s="160">
        <v>-5663</v>
      </c>
      <c r="EU254" s="116">
        <v>0</v>
      </c>
      <c r="EV254" s="116">
        <v>40</v>
      </c>
      <c r="EW254" s="160">
        <v>-6660</v>
      </c>
      <c r="EX254" s="160">
        <v>7</v>
      </c>
      <c r="EY254" s="160">
        <v>29</v>
      </c>
      <c r="EZ254" s="116">
        <v>3886</v>
      </c>
      <c r="FA254" s="116">
        <v>-3</v>
      </c>
      <c r="FB254" s="116">
        <v>3529</v>
      </c>
      <c r="FC254" s="160">
        <v>850</v>
      </c>
      <c r="FD254" s="116">
        <v>3678</v>
      </c>
      <c r="FE254" s="116">
        <v>15</v>
      </c>
      <c r="FF254" s="3">
        <v>12022</v>
      </c>
      <c r="FG254" s="3">
        <v>10855</v>
      </c>
      <c r="FH254" s="3">
        <v>1167</v>
      </c>
      <c r="FI254" s="3">
        <v>5</v>
      </c>
      <c r="FJ254" s="125">
        <v>15125</v>
      </c>
      <c r="FK254" s="160">
        <v>14326</v>
      </c>
      <c r="FL254" s="125">
        <v>799</v>
      </c>
      <c r="FM254" s="116">
        <v>4</v>
      </c>
      <c r="FN254" s="125">
        <v>16452</v>
      </c>
      <c r="FO254" s="116">
        <v>15406</v>
      </c>
      <c r="FP254" s="116">
        <v>1046</v>
      </c>
      <c r="FQ254" s="116">
        <v>270</v>
      </c>
      <c r="FR254" s="153">
        <v>1685</v>
      </c>
      <c r="FS254" s="153">
        <v>1463</v>
      </c>
      <c r="FT254" s="276">
        <v>1463</v>
      </c>
      <c r="FU254" s="3">
        <v>367</v>
      </c>
      <c r="FV254" s="159">
        <v>367</v>
      </c>
      <c r="FW254" s="170"/>
      <c r="FZ254" s="155"/>
      <c r="GA254" s="2"/>
      <c r="GD254" s="163"/>
      <c r="GE254" s="2"/>
      <c r="GF254" s="2"/>
    </row>
    <row r="255" spans="1:188" ht="14.5" x14ac:dyDescent="0.35">
      <c r="A255" s="72">
        <v>833</v>
      </c>
      <c r="B255" s="70" t="s">
        <v>245</v>
      </c>
      <c r="C255" s="158">
        <v>1662</v>
      </c>
      <c r="D255" s="171"/>
      <c r="E255" s="128">
        <v>3.5555555555555554</v>
      </c>
      <c r="F255" s="128">
        <v>65.017204653449127</v>
      </c>
      <c r="G255" s="129">
        <v>-3830.9265944645003</v>
      </c>
      <c r="H255" s="216"/>
      <c r="I255" s="172"/>
      <c r="J255" s="218"/>
      <c r="K255" s="128">
        <v>43.153961817104843</v>
      </c>
      <c r="L255" s="129">
        <v>2668.471720818291</v>
      </c>
      <c r="M255" s="129">
        <v>89.188705234159784</v>
      </c>
      <c r="N255" s="129">
        <v>10920.577617328521</v>
      </c>
      <c r="O255" s="129"/>
      <c r="P255" s="117">
        <v>7358</v>
      </c>
      <c r="Q255" s="161">
        <v>16766</v>
      </c>
      <c r="R255" s="161">
        <v>1</v>
      </c>
      <c r="S255" s="161">
        <v>-9407</v>
      </c>
      <c r="T255" s="124">
        <v>6612</v>
      </c>
      <c r="U255" s="124">
        <v>4339</v>
      </c>
      <c r="V255" s="136"/>
      <c r="X255" s="116">
        <v>-116</v>
      </c>
      <c r="Y255" s="116">
        <v>8</v>
      </c>
      <c r="Z255" s="161">
        <v>1436</v>
      </c>
      <c r="AA255" s="116">
        <v>802</v>
      </c>
      <c r="AB255" s="116">
        <v>0</v>
      </c>
      <c r="AD255" s="161">
        <v>634</v>
      </c>
      <c r="AE255" s="117">
        <v>0</v>
      </c>
      <c r="AF255" s="117">
        <v>0</v>
      </c>
      <c r="AG255" s="116">
        <v>0</v>
      </c>
      <c r="AH255" s="116">
        <v>0</v>
      </c>
      <c r="AI255" s="160">
        <v>634</v>
      </c>
      <c r="AJ255" s="161">
        <v>4530</v>
      </c>
      <c r="AK255" s="161">
        <v>1631</v>
      </c>
      <c r="AL255" s="150"/>
      <c r="AM255" s="161">
        <v>-148</v>
      </c>
      <c r="AN255" s="161">
        <v>-309</v>
      </c>
      <c r="AO255" s="160">
        <v>828</v>
      </c>
      <c r="AQ255" s="160"/>
      <c r="AR255" s="117"/>
      <c r="AS255" s="117"/>
      <c r="AT255" s="99">
        <v>20.75</v>
      </c>
      <c r="AU255" s="130"/>
      <c r="AV255" s="262">
        <v>38</v>
      </c>
      <c r="AW255" s="267">
        <v>1639</v>
      </c>
      <c r="AX255" s="124"/>
      <c r="AY255" s="255">
        <v>2.8193832599118944</v>
      </c>
      <c r="AZ255" s="259">
        <v>65.57503159514259</v>
      </c>
      <c r="BA255" s="160">
        <v>-3790.7260524710191</v>
      </c>
      <c r="BB255" s="130"/>
      <c r="BC255" s="130"/>
      <c r="BD255" s="130"/>
      <c r="BE255" s="128">
        <v>41.172054614554497</v>
      </c>
      <c r="BF255" s="160">
        <v>2523.489932885906</v>
      </c>
      <c r="BG255" s="129">
        <v>86.371518514566205</v>
      </c>
      <c r="BH255" s="131">
        <v>11435.021354484443</v>
      </c>
      <c r="BI255" s="124"/>
      <c r="BJ255" s="117">
        <v>7572</v>
      </c>
      <c r="BK255" s="117">
        <v>16904</v>
      </c>
      <c r="BL255" s="161">
        <v>5</v>
      </c>
      <c r="BM255" s="161">
        <v>-9327</v>
      </c>
      <c r="BN255" s="117">
        <v>6563</v>
      </c>
      <c r="BO255" s="117">
        <v>4064</v>
      </c>
      <c r="BP255" s="136"/>
      <c r="BR255" s="160">
        <v>-122</v>
      </c>
      <c r="BS255" s="160">
        <v>-24</v>
      </c>
      <c r="BT255" s="161">
        <v>1154</v>
      </c>
      <c r="BU255" s="125">
        <v>736</v>
      </c>
      <c r="BV255" s="160">
        <v>0</v>
      </c>
      <c r="BX255" s="161">
        <v>418</v>
      </c>
      <c r="BY255" s="161">
        <v>0</v>
      </c>
      <c r="BZ255" s="160">
        <v>1</v>
      </c>
      <c r="CA255" s="160">
        <v>0</v>
      </c>
      <c r="CB255" s="160">
        <v>0</v>
      </c>
      <c r="CC255" s="160">
        <v>419</v>
      </c>
      <c r="CD255" s="160">
        <v>4949</v>
      </c>
      <c r="CE255" s="116">
        <v>1128</v>
      </c>
      <c r="CF255" s="150"/>
      <c r="CG255" s="161">
        <v>-483</v>
      </c>
      <c r="CH255" s="160">
        <v>-328</v>
      </c>
      <c r="CI255" s="159">
        <v>146</v>
      </c>
      <c r="CK255" s="124"/>
      <c r="CL255" s="161"/>
      <c r="CM255" s="124"/>
      <c r="CN255" s="265">
        <v>20.75</v>
      </c>
      <c r="CO255" s="130"/>
      <c r="CP255" s="116">
        <v>57</v>
      </c>
      <c r="CQ255" s="267">
        <v>1659</v>
      </c>
      <c r="CR255" s="124"/>
      <c r="CS255" s="268">
        <v>4.9502407704654896</v>
      </c>
      <c r="CT255" s="269">
        <v>59.64234911603333</v>
      </c>
      <c r="CU255" s="160">
        <v>-2452.0795660036169</v>
      </c>
      <c r="CV255" s="130"/>
      <c r="CW255" s="130"/>
      <c r="CX255" s="130"/>
      <c r="CY255" s="269">
        <v>47.028024548302646</v>
      </c>
      <c r="CZ255" s="125">
        <v>3796.8655816757082</v>
      </c>
      <c r="DA255" s="125">
        <v>123.52971201375456</v>
      </c>
      <c r="DB255" s="273">
        <v>11218.806509945751</v>
      </c>
      <c r="DC255" s="124"/>
      <c r="DD255" s="117">
        <v>7666</v>
      </c>
      <c r="DE255" s="117">
        <v>16595</v>
      </c>
      <c r="DF255" s="117">
        <v>4</v>
      </c>
      <c r="DG255" s="117">
        <v>-8925</v>
      </c>
      <c r="DH255" s="117">
        <v>7086</v>
      </c>
      <c r="DI255" s="117">
        <v>4932</v>
      </c>
      <c r="DJ255" s="136"/>
      <c r="DL255" s="160">
        <v>-136</v>
      </c>
      <c r="DM255" s="160">
        <v>6</v>
      </c>
      <c r="DN255" s="161">
        <v>2963</v>
      </c>
      <c r="DO255" s="116">
        <v>783</v>
      </c>
      <c r="DP255" s="160">
        <v>0</v>
      </c>
      <c r="DR255" s="161">
        <v>2180</v>
      </c>
      <c r="DS255" s="117">
        <v>-1</v>
      </c>
      <c r="DT255" s="116">
        <v>0</v>
      </c>
      <c r="DU255" s="116">
        <v>0</v>
      </c>
      <c r="DV255" s="116">
        <v>1</v>
      </c>
      <c r="DW255" s="160">
        <v>2180</v>
      </c>
      <c r="DX255" s="160">
        <v>7130</v>
      </c>
      <c r="DY255" s="116">
        <v>2958</v>
      </c>
      <c r="DZ255" s="150"/>
      <c r="EA255" s="117">
        <v>212</v>
      </c>
      <c r="EB255" s="116">
        <v>-502</v>
      </c>
      <c r="EC255" s="159">
        <v>2181</v>
      </c>
      <c r="EE255" s="125"/>
      <c r="EF255" s="161"/>
      <c r="EG255" s="124"/>
      <c r="EH255" s="253">
        <v>20.75</v>
      </c>
      <c r="EI255" s="130"/>
      <c r="EJ255" s="125">
        <v>10</v>
      </c>
      <c r="EK255" s="116"/>
      <c r="EL255" s="159"/>
      <c r="EN255" s="116"/>
      <c r="EO255" s="116"/>
      <c r="EP255" s="159"/>
      <c r="EQ255" s="159">
        <v>-907</v>
      </c>
      <c r="ER255" s="116">
        <v>40</v>
      </c>
      <c r="ES255" s="116">
        <v>64</v>
      </c>
      <c r="ET255" s="160">
        <v>-1353</v>
      </c>
      <c r="EU255" s="116">
        <v>328</v>
      </c>
      <c r="EV255" s="116">
        <v>43</v>
      </c>
      <c r="EW255" s="160">
        <v>-1393</v>
      </c>
      <c r="EX255" s="160">
        <v>345</v>
      </c>
      <c r="EY255" s="160">
        <v>271</v>
      </c>
      <c r="EZ255" s="116">
        <v>157</v>
      </c>
      <c r="FA255" s="116">
        <v>0</v>
      </c>
      <c r="FB255" s="116">
        <v>7</v>
      </c>
      <c r="FC255" s="160">
        <v>130</v>
      </c>
      <c r="FD255" s="116">
        <v>6</v>
      </c>
      <c r="FE255" s="116">
        <v>145</v>
      </c>
      <c r="FF255" s="3">
        <v>9493</v>
      </c>
      <c r="FG255" s="3">
        <v>9278</v>
      </c>
      <c r="FH255" s="3">
        <v>215</v>
      </c>
      <c r="FI255" s="3">
        <v>4</v>
      </c>
      <c r="FJ255" s="125">
        <v>9303</v>
      </c>
      <c r="FK255" s="160">
        <v>8953</v>
      </c>
      <c r="FL255" s="125">
        <v>350</v>
      </c>
      <c r="FM255" s="116">
        <v>4</v>
      </c>
      <c r="FN255" s="125">
        <v>8959</v>
      </c>
      <c r="FO255" s="116">
        <v>8373</v>
      </c>
      <c r="FP255" s="116">
        <v>586</v>
      </c>
      <c r="FQ255" s="116">
        <v>212</v>
      </c>
      <c r="FR255" s="153">
        <v>231</v>
      </c>
      <c r="FS255" s="153">
        <v>346</v>
      </c>
      <c r="FT255" s="276">
        <v>316</v>
      </c>
      <c r="FU255" s="3">
        <v>1023</v>
      </c>
      <c r="FV255" s="159">
        <v>1141</v>
      </c>
      <c r="FW255" s="170"/>
      <c r="FZ255" s="155"/>
      <c r="GA255" s="2"/>
      <c r="GD255" s="163"/>
      <c r="GE255" s="2"/>
      <c r="GF255" s="2"/>
    </row>
    <row r="256" spans="1:188" ht="14.5" x14ac:dyDescent="0.35">
      <c r="A256" s="72">
        <v>834</v>
      </c>
      <c r="B256" s="70" t="s">
        <v>246</v>
      </c>
      <c r="C256" s="158">
        <v>6081</v>
      </c>
      <c r="D256" s="171"/>
      <c r="E256" s="128">
        <v>1.3552941176470588</v>
      </c>
      <c r="F256" s="128">
        <v>34.676309695606939</v>
      </c>
      <c r="G256" s="129">
        <v>-2627.6928136819602</v>
      </c>
      <c r="H256" s="216"/>
      <c r="I256" s="172"/>
      <c r="J256" s="218"/>
      <c r="K256" s="128">
        <v>56.394582284549919</v>
      </c>
      <c r="L256" s="129">
        <v>95.379049498437752</v>
      </c>
      <c r="M256" s="129">
        <v>3.4020055280581087</v>
      </c>
      <c r="N256" s="129">
        <v>10233.185331359973</v>
      </c>
      <c r="O256" s="129"/>
      <c r="P256" s="117">
        <v>25911</v>
      </c>
      <c r="Q256" s="161">
        <v>57904</v>
      </c>
      <c r="R256" s="161">
        <v>6</v>
      </c>
      <c r="S256" s="161">
        <v>-31987</v>
      </c>
      <c r="T256" s="124">
        <v>21177</v>
      </c>
      <c r="U256" s="124">
        <v>12506</v>
      </c>
      <c r="V256" s="136"/>
      <c r="X256" s="116">
        <v>-108</v>
      </c>
      <c r="Y256" s="116">
        <v>31</v>
      </c>
      <c r="Z256" s="161">
        <v>1619</v>
      </c>
      <c r="AA256" s="116">
        <v>3258</v>
      </c>
      <c r="AB256" s="116">
        <v>6</v>
      </c>
      <c r="AD256" s="161">
        <v>-1633</v>
      </c>
      <c r="AE256" s="117">
        <v>0</v>
      </c>
      <c r="AF256" s="117">
        <v>-11</v>
      </c>
      <c r="AG256" s="116">
        <v>0</v>
      </c>
      <c r="AH256" s="116">
        <v>0</v>
      </c>
      <c r="AI256" s="160">
        <v>-1644</v>
      </c>
      <c r="AJ256" s="161">
        <v>11487</v>
      </c>
      <c r="AK256" s="161">
        <v>1452</v>
      </c>
      <c r="AL256" s="150"/>
      <c r="AM256" s="161">
        <v>-320</v>
      </c>
      <c r="AN256" s="161">
        <v>-1166</v>
      </c>
      <c r="AO256" s="160">
        <v>-1028</v>
      </c>
      <c r="AQ256" s="160"/>
      <c r="AR256" s="117"/>
      <c r="AS256" s="117"/>
      <c r="AT256" s="99">
        <v>20.25</v>
      </c>
      <c r="AU256" s="130"/>
      <c r="AV256" s="262">
        <v>235</v>
      </c>
      <c r="AW256" s="267">
        <v>6015</v>
      </c>
      <c r="AX256" s="124"/>
      <c r="AY256" s="255">
        <v>0.32363315696649031</v>
      </c>
      <c r="AZ256" s="259">
        <v>38.221381267738884</v>
      </c>
      <c r="BA256" s="160">
        <v>-2851.3715710723191</v>
      </c>
      <c r="BB256" s="130"/>
      <c r="BC256" s="130"/>
      <c r="BD256" s="130"/>
      <c r="BE256" s="128">
        <v>51.904334828101646</v>
      </c>
      <c r="BF256" s="160">
        <v>173.39983374896093</v>
      </c>
      <c r="BG256" s="129">
        <v>3.3458189117000932</v>
      </c>
      <c r="BH256" s="131">
        <v>10519.20199501247</v>
      </c>
      <c r="BI256" s="124"/>
      <c r="BJ256" s="117">
        <v>25760</v>
      </c>
      <c r="BK256" s="117">
        <v>59922</v>
      </c>
      <c r="BL256" s="161">
        <v>2</v>
      </c>
      <c r="BM256" s="161">
        <v>-34160</v>
      </c>
      <c r="BN256" s="117">
        <v>21771</v>
      </c>
      <c r="BO256" s="117">
        <v>12718</v>
      </c>
      <c r="BP256" s="136"/>
      <c r="BR256" s="160">
        <v>-92</v>
      </c>
      <c r="BS256" s="160">
        <v>37</v>
      </c>
      <c r="BT256" s="161">
        <v>274</v>
      </c>
      <c r="BU256" s="125">
        <v>2882</v>
      </c>
      <c r="BV256" s="160">
        <v>9</v>
      </c>
      <c r="BX256" s="161">
        <v>-2599</v>
      </c>
      <c r="BY256" s="161">
        <v>-1</v>
      </c>
      <c r="BZ256" s="161">
        <v>-14</v>
      </c>
      <c r="CA256" s="160">
        <v>0</v>
      </c>
      <c r="CB256" s="160">
        <v>0</v>
      </c>
      <c r="CC256" s="160">
        <v>-2614</v>
      </c>
      <c r="CD256" s="160">
        <v>9296</v>
      </c>
      <c r="CE256" s="116">
        <v>759</v>
      </c>
      <c r="CF256" s="150"/>
      <c r="CG256" s="160">
        <v>-668</v>
      </c>
      <c r="CH256" s="160">
        <v>-1041</v>
      </c>
      <c r="CI256" s="159">
        <v>-1126</v>
      </c>
      <c r="CK256" s="124"/>
      <c r="CL256" s="161"/>
      <c r="CM256" s="124"/>
      <c r="CN256" s="265">
        <v>20.25</v>
      </c>
      <c r="CO256" s="130"/>
      <c r="CP256" s="116">
        <v>269</v>
      </c>
      <c r="CQ256" s="267">
        <v>6016</v>
      </c>
      <c r="CR256" s="124"/>
      <c r="CS256" s="268">
        <v>3.0764094955489614</v>
      </c>
      <c r="CT256" s="269">
        <v>33.538127936393202</v>
      </c>
      <c r="CU256" s="160">
        <v>-2362.0345744680849</v>
      </c>
      <c r="CV256" s="130"/>
      <c r="CW256" s="130"/>
      <c r="CX256" s="130"/>
      <c r="CY256" s="269">
        <v>54.819192345574784</v>
      </c>
      <c r="CZ256" s="125">
        <v>340.75797872340422</v>
      </c>
      <c r="DA256" s="125">
        <v>12.015254917703732</v>
      </c>
      <c r="DB256" s="273">
        <v>10351.5625</v>
      </c>
      <c r="DC256" s="124"/>
      <c r="DD256" s="117">
        <v>26062</v>
      </c>
      <c r="DE256" s="117">
        <v>59528</v>
      </c>
      <c r="DF256" s="117">
        <v>-4</v>
      </c>
      <c r="DG256" s="117">
        <v>-33470</v>
      </c>
      <c r="DH256" s="117">
        <v>22795</v>
      </c>
      <c r="DI256" s="117">
        <v>14784</v>
      </c>
      <c r="DJ256" s="136"/>
      <c r="DL256" s="160">
        <v>-87</v>
      </c>
      <c r="DM256" s="160">
        <v>34</v>
      </c>
      <c r="DN256" s="161">
        <v>4056</v>
      </c>
      <c r="DO256" s="116">
        <v>2814</v>
      </c>
      <c r="DP256" s="160">
        <v>0</v>
      </c>
      <c r="DR256" s="161">
        <v>1242</v>
      </c>
      <c r="DS256" s="117">
        <v>0</v>
      </c>
      <c r="DT256" s="117">
        <v>-13</v>
      </c>
      <c r="DU256" s="116">
        <v>0</v>
      </c>
      <c r="DV256" s="116">
        <v>0</v>
      </c>
      <c r="DW256" s="160">
        <v>1229</v>
      </c>
      <c r="DX256" s="160">
        <v>10525</v>
      </c>
      <c r="DY256" s="116">
        <v>4038</v>
      </c>
      <c r="DZ256" s="150"/>
      <c r="EA256" s="116">
        <v>-202</v>
      </c>
      <c r="EB256" s="116">
        <v>-1257</v>
      </c>
      <c r="EC256" s="159">
        <v>2804</v>
      </c>
      <c r="EE256" s="125"/>
      <c r="EF256" s="161"/>
      <c r="EG256" s="124"/>
      <c r="EH256" s="253">
        <v>20.75</v>
      </c>
      <c r="EI256" s="130"/>
      <c r="EJ256" s="125">
        <v>260</v>
      </c>
      <c r="EK256" s="116"/>
      <c r="EL256" s="159"/>
      <c r="EN256" s="116"/>
      <c r="EO256" s="116"/>
      <c r="EP256" s="159"/>
      <c r="EQ256" s="159">
        <v>-2951</v>
      </c>
      <c r="ER256" s="116">
        <v>110</v>
      </c>
      <c r="ES256" s="116">
        <v>361</v>
      </c>
      <c r="ET256" s="160">
        <v>-2118</v>
      </c>
      <c r="EU256" s="116">
        <v>63</v>
      </c>
      <c r="EV256" s="116">
        <v>170</v>
      </c>
      <c r="EW256" s="160">
        <v>-1300</v>
      </c>
      <c r="EX256" s="160">
        <v>29</v>
      </c>
      <c r="EY256" s="160">
        <v>37</v>
      </c>
      <c r="EZ256" s="116">
        <v>365</v>
      </c>
      <c r="FA256" s="116">
        <v>700</v>
      </c>
      <c r="FB256" s="116">
        <v>3141</v>
      </c>
      <c r="FC256" s="160">
        <v>-170</v>
      </c>
      <c r="FD256" s="116">
        <v>142</v>
      </c>
      <c r="FE256" s="116">
        <v>0</v>
      </c>
      <c r="FF256" s="3">
        <v>14220</v>
      </c>
      <c r="FG256" s="3">
        <v>8987</v>
      </c>
      <c r="FH256" s="3">
        <v>5233</v>
      </c>
      <c r="FI256" s="3">
        <v>6</v>
      </c>
      <c r="FJ256" s="125">
        <v>16053</v>
      </c>
      <c r="FK256" s="160">
        <v>10749</v>
      </c>
      <c r="FL256" s="125">
        <v>5304</v>
      </c>
      <c r="FM256" s="116">
        <v>6</v>
      </c>
      <c r="FN256" s="125">
        <v>14843</v>
      </c>
      <c r="FO256" s="116">
        <v>9555</v>
      </c>
      <c r="FP256" s="116">
        <v>5288</v>
      </c>
      <c r="FQ256" s="116">
        <v>-202</v>
      </c>
      <c r="FR256" s="153">
        <v>6257</v>
      </c>
      <c r="FS256" s="153">
        <v>5819</v>
      </c>
      <c r="FT256" s="276">
        <v>5097</v>
      </c>
      <c r="FU256" s="3">
        <v>412</v>
      </c>
      <c r="FV256" s="159">
        <v>430</v>
      </c>
      <c r="FW256" s="170"/>
      <c r="FZ256" s="155"/>
      <c r="GA256" s="2"/>
      <c r="GD256" s="163"/>
      <c r="GE256" s="2"/>
      <c r="GF256" s="2"/>
    </row>
    <row r="257" spans="1:188" ht="14.5" x14ac:dyDescent="0.35">
      <c r="A257" s="72">
        <v>837</v>
      </c>
      <c r="B257" s="70" t="s">
        <v>247</v>
      </c>
      <c r="C257" s="158">
        <v>235239</v>
      </c>
      <c r="D257" s="171"/>
      <c r="E257" s="128">
        <v>2.4976977861204661</v>
      </c>
      <c r="F257" s="128">
        <v>93.534291419289517</v>
      </c>
      <c r="G257" s="129">
        <v>-7779.2500393217115</v>
      </c>
      <c r="H257" s="216"/>
      <c r="I257" s="172"/>
      <c r="J257" s="218"/>
      <c r="K257" s="128">
        <v>36.425404814823963</v>
      </c>
      <c r="L257" s="129">
        <v>912.82057822044817</v>
      </c>
      <c r="M257" s="129">
        <v>28.196628570770731</v>
      </c>
      <c r="N257" s="129">
        <v>11816.288965690212</v>
      </c>
      <c r="O257" s="129"/>
      <c r="P257" s="117">
        <v>1191524</v>
      </c>
      <c r="Q257" s="161">
        <v>2190094</v>
      </c>
      <c r="R257" s="161">
        <v>4402</v>
      </c>
      <c r="S257" s="161">
        <v>-994168</v>
      </c>
      <c r="T257" s="124">
        <v>914515</v>
      </c>
      <c r="U257" s="124">
        <v>299869</v>
      </c>
      <c r="V257" s="136"/>
      <c r="X257" s="116">
        <v>-27422</v>
      </c>
      <c r="Y257" s="116">
        <v>4708</v>
      </c>
      <c r="Z257" s="161">
        <v>197502</v>
      </c>
      <c r="AA257" s="116">
        <v>203613</v>
      </c>
      <c r="AB257" s="116">
        <v>-46734</v>
      </c>
      <c r="AD257" s="161">
        <v>-52845</v>
      </c>
      <c r="AE257" s="117">
        <v>-1461</v>
      </c>
      <c r="AF257" s="117">
        <v>2303</v>
      </c>
      <c r="AG257" s="116">
        <v>-11032</v>
      </c>
      <c r="AH257" s="116">
        <v>-3273</v>
      </c>
      <c r="AI257" s="160">
        <v>-66308</v>
      </c>
      <c r="AJ257" s="161">
        <v>695949</v>
      </c>
      <c r="AK257" s="161">
        <v>167908</v>
      </c>
      <c r="AL257" s="150"/>
      <c r="AM257" s="161">
        <v>-7884</v>
      </c>
      <c r="AN257" s="161">
        <v>-61863</v>
      </c>
      <c r="AO257" s="160">
        <v>-274531</v>
      </c>
      <c r="AQ257" s="160"/>
      <c r="AR257" s="117"/>
      <c r="AS257" s="117"/>
      <c r="AT257" s="99">
        <v>19.75</v>
      </c>
      <c r="AU257" s="130"/>
      <c r="AV257" s="262">
        <v>42</v>
      </c>
      <c r="AW257" s="267">
        <v>238140</v>
      </c>
      <c r="AX257" s="124"/>
      <c r="AY257" s="255">
        <v>1.8889241488737885</v>
      </c>
      <c r="AZ257" s="259">
        <v>97.816387582859932</v>
      </c>
      <c r="BA257" s="160">
        <v>-8295.4522549760641</v>
      </c>
      <c r="BB257" s="130"/>
      <c r="BC257" s="130"/>
      <c r="BD257" s="130"/>
      <c r="BE257" s="128">
        <v>36.916712928211687</v>
      </c>
      <c r="BF257" s="160">
        <v>1036.2139917695474</v>
      </c>
      <c r="BG257" s="129">
        <v>28.031434178351976</v>
      </c>
      <c r="BH257" s="131">
        <v>11741.131267321744</v>
      </c>
      <c r="BI257" s="124"/>
      <c r="BJ257" s="117">
        <v>1240242</v>
      </c>
      <c r="BK257" s="117">
        <v>2251421</v>
      </c>
      <c r="BL257" s="161">
        <v>5153</v>
      </c>
      <c r="BM257" s="161">
        <v>-1006026</v>
      </c>
      <c r="BN257" s="117">
        <v>974525</v>
      </c>
      <c r="BO257" s="117">
        <v>301980</v>
      </c>
      <c r="BP257" s="136"/>
      <c r="BR257" s="160">
        <v>-29560</v>
      </c>
      <c r="BS257" s="160">
        <v>2089</v>
      </c>
      <c r="BT257" s="161">
        <v>243008</v>
      </c>
      <c r="BU257" s="125">
        <v>208229</v>
      </c>
      <c r="BV257" s="160">
        <v>0</v>
      </c>
      <c r="BX257" s="161">
        <v>34779</v>
      </c>
      <c r="BY257" s="161">
        <v>-2665</v>
      </c>
      <c r="BZ257" s="161">
        <v>225</v>
      </c>
      <c r="CA257" s="160">
        <v>9208</v>
      </c>
      <c r="CB257" s="160">
        <v>-6120</v>
      </c>
      <c r="CC257" s="160">
        <v>17011</v>
      </c>
      <c r="CD257" s="160">
        <v>719483</v>
      </c>
      <c r="CE257" s="116">
        <v>197747</v>
      </c>
      <c r="CF257" s="150"/>
      <c r="CG257" s="161">
        <v>-34237</v>
      </c>
      <c r="CH257" s="160">
        <v>-114154</v>
      </c>
      <c r="CI257" s="159">
        <v>-139728</v>
      </c>
      <c r="CK257" s="124"/>
      <c r="CL257" s="161"/>
      <c r="CM257" s="124"/>
      <c r="CN257" s="265">
        <v>19.75</v>
      </c>
      <c r="CO257" s="130"/>
      <c r="CP257" s="116">
        <v>19</v>
      </c>
      <c r="CQ257" s="267">
        <v>241009</v>
      </c>
      <c r="CR257" s="124"/>
      <c r="CS257" s="268">
        <v>3.2302929683917005</v>
      </c>
      <c r="CT257" s="269">
        <v>102.69085469588521</v>
      </c>
      <c r="CU257" s="160">
        <v>-8839.0267583368241</v>
      </c>
      <c r="CV257" s="130"/>
      <c r="CW257" s="130"/>
      <c r="CX257" s="130"/>
      <c r="CY257" s="269">
        <v>35.995860473049284</v>
      </c>
      <c r="CZ257" s="125">
        <v>1596.1105186943225</v>
      </c>
      <c r="DA257" s="125">
        <v>48.782041126321722</v>
      </c>
      <c r="DB257" s="273">
        <v>11942.516669501969</v>
      </c>
      <c r="DC257" s="124"/>
      <c r="DD257" s="117">
        <v>1218747</v>
      </c>
      <c r="DE257" s="117">
        <v>2305269</v>
      </c>
      <c r="DF257" s="117">
        <v>5457</v>
      </c>
      <c r="DG257" s="117">
        <v>-1081065</v>
      </c>
      <c r="DH257" s="117">
        <v>1035323</v>
      </c>
      <c r="DI257" s="117">
        <v>394568</v>
      </c>
      <c r="DJ257" s="136"/>
      <c r="DL257" s="160">
        <v>-32564</v>
      </c>
      <c r="DM257" s="160">
        <v>1852</v>
      </c>
      <c r="DN257" s="161">
        <v>318114</v>
      </c>
      <c r="DO257" s="116">
        <v>216624</v>
      </c>
      <c r="DP257" s="160">
        <v>0</v>
      </c>
      <c r="DR257" s="161">
        <v>101490</v>
      </c>
      <c r="DS257" s="117">
        <v>-5989</v>
      </c>
      <c r="DT257" s="117">
        <v>265</v>
      </c>
      <c r="DU257" s="116">
        <v>10309</v>
      </c>
      <c r="DV257" s="116">
        <v>-4903</v>
      </c>
      <c r="DW257" s="160">
        <v>80554</v>
      </c>
      <c r="DX257" s="160">
        <v>800037</v>
      </c>
      <c r="DY257" s="116">
        <v>285426</v>
      </c>
      <c r="DZ257" s="150"/>
      <c r="EA257" s="117">
        <v>34391</v>
      </c>
      <c r="EB257" s="116">
        <v>-74963</v>
      </c>
      <c r="EC257" s="159">
        <v>-112972</v>
      </c>
      <c r="EE257" s="125"/>
      <c r="EF257" s="161"/>
      <c r="EG257" s="124"/>
      <c r="EH257" s="253">
        <v>20.25</v>
      </c>
      <c r="EI257" s="130"/>
      <c r="EJ257" s="125">
        <v>48</v>
      </c>
      <c r="EK257" s="116"/>
      <c r="EL257" s="159"/>
      <c r="EN257" s="116"/>
      <c r="EO257" s="116"/>
      <c r="EP257" s="159"/>
      <c r="EQ257" s="159">
        <v>-495815</v>
      </c>
      <c r="ER257" s="116">
        <v>22012</v>
      </c>
      <c r="ES257" s="116">
        <v>31364</v>
      </c>
      <c r="ET257" s="160">
        <v>-392493</v>
      </c>
      <c r="EU257" s="116">
        <v>21175</v>
      </c>
      <c r="EV257" s="116">
        <v>33843</v>
      </c>
      <c r="EW257" s="160">
        <v>-444355</v>
      </c>
      <c r="EX257" s="160">
        <v>7885</v>
      </c>
      <c r="EY257" s="160">
        <v>38072</v>
      </c>
      <c r="EZ257" s="116">
        <v>337829</v>
      </c>
      <c r="FA257" s="116">
        <v>-7773</v>
      </c>
      <c r="FB257" s="116">
        <v>310757</v>
      </c>
      <c r="FC257" s="160">
        <v>-255</v>
      </c>
      <c r="FD257" s="116">
        <v>326266</v>
      </c>
      <c r="FE257" s="116">
        <v>-13669</v>
      </c>
      <c r="FF257" s="3">
        <v>1718790</v>
      </c>
      <c r="FG257" s="3">
        <v>1612189</v>
      </c>
      <c r="FH257" s="3">
        <v>106601</v>
      </c>
      <c r="FI257" s="3">
        <v>3012</v>
      </c>
      <c r="FJ257" s="125">
        <v>1913938</v>
      </c>
      <c r="FK257" s="160">
        <v>1826435</v>
      </c>
      <c r="FL257" s="125">
        <v>87503</v>
      </c>
      <c r="FM257" s="116">
        <v>8514</v>
      </c>
      <c r="FN257" s="125">
        <v>2153745</v>
      </c>
      <c r="FO257" s="116">
        <v>2055370</v>
      </c>
      <c r="FP257" s="116">
        <v>98375</v>
      </c>
      <c r="FQ257" s="116">
        <v>34391</v>
      </c>
      <c r="FR257" s="153">
        <v>11409</v>
      </c>
      <c r="FS257" s="153">
        <v>13049</v>
      </c>
      <c r="FT257" s="276">
        <v>17307</v>
      </c>
      <c r="FU257" s="3">
        <v>496791</v>
      </c>
      <c r="FV257" s="159">
        <v>513617</v>
      </c>
      <c r="FW257" s="170"/>
      <c r="FZ257" s="155"/>
      <c r="GA257" s="2"/>
      <c r="GD257" s="163"/>
      <c r="GE257" s="2"/>
      <c r="GF257" s="2"/>
    </row>
    <row r="258" spans="1:188" ht="14.5" x14ac:dyDescent="0.35">
      <c r="A258" s="72">
        <v>844</v>
      </c>
      <c r="B258" s="70" t="s">
        <v>248</v>
      </c>
      <c r="C258" s="158">
        <v>1567</v>
      </c>
      <c r="D258" s="171"/>
      <c r="E258" s="128">
        <v>0.77833125778331258</v>
      </c>
      <c r="F258" s="128">
        <v>74.317241379310346</v>
      </c>
      <c r="G258" s="129">
        <v>-6379.7064454371412</v>
      </c>
      <c r="H258" s="216"/>
      <c r="I258" s="172"/>
      <c r="J258" s="218"/>
      <c r="K258" s="128">
        <v>38.424336397533871</v>
      </c>
      <c r="L258" s="129">
        <v>2705.8072750478623</v>
      </c>
      <c r="M258" s="129">
        <v>64.612558450233792</v>
      </c>
      <c r="N258" s="129">
        <v>15285.258455647736</v>
      </c>
      <c r="O258" s="129"/>
      <c r="P258" s="117">
        <v>10659</v>
      </c>
      <c r="Q258" s="161">
        <v>21344</v>
      </c>
      <c r="R258" s="161">
        <v>20</v>
      </c>
      <c r="S258" s="161">
        <v>-10665</v>
      </c>
      <c r="T258" s="124">
        <v>4283</v>
      </c>
      <c r="U258" s="124">
        <v>6808</v>
      </c>
      <c r="V258" s="136"/>
      <c r="X258" s="116">
        <v>-122</v>
      </c>
      <c r="Y258" s="116">
        <v>190</v>
      </c>
      <c r="Z258" s="161">
        <v>494</v>
      </c>
      <c r="AA258" s="116">
        <v>907</v>
      </c>
      <c r="AB258" s="117">
        <v>-25</v>
      </c>
      <c r="AD258" s="161">
        <v>-438</v>
      </c>
      <c r="AE258" s="117">
        <v>-1</v>
      </c>
      <c r="AF258" s="117">
        <v>117</v>
      </c>
      <c r="AG258" s="116">
        <v>0</v>
      </c>
      <c r="AH258" s="117">
        <v>-1</v>
      </c>
      <c r="AI258" s="160">
        <v>-323</v>
      </c>
      <c r="AJ258" s="161">
        <v>1679</v>
      </c>
      <c r="AK258" s="161">
        <v>287</v>
      </c>
      <c r="AL258" s="150"/>
      <c r="AM258" s="161">
        <v>189</v>
      </c>
      <c r="AN258" s="161">
        <v>-672</v>
      </c>
      <c r="AO258" s="160">
        <v>-570</v>
      </c>
      <c r="AQ258" s="160"/>
      <c r="AR258" s="117"/>
      <c r="AS258" s="117"/>
      <c r="AT258" s="99">
        <v>20.75</v>
      </c>
      <c r="AU258" s="130"/>
      <c r="AV258" s="262">
        <v>210</v>
      </c>
      <c r="AW258" s="267">
        <v>1520</v>
      </c>
      <c r="AX258" s="124"/>
      <c r="AY258" s="255">
        <v>0.22195240407965031</v>
      </c>
      <c r="AZ258" s="259">
        <v>73.73864430468204</v>
      </c>
      <c r="BA258" s="160">
        <v>-6702.6315789473683</v>
      </c>
      <c r="BB258" s="130"/>
      <c r="BC258" s="130"/>
      <c r="BD258" s="130"/>
      <c r="BE258" s="128">
        <v>37.788071357476454</v>
      </c>
      <c r="BF258" s="160">
        <v>2469.7368421052629</v>
      </c>
      <c r="BG258" s="129">
        <v>61.44868896029196</v>
      </c>
      <c r="BH258" s="131">
        <v>16584.868421052633</v>
      </c>
      <c r="BI258" s="124"/>
      <c r="BJ258" s="117">
        <v>10133</v>
      </c>
      <c r="BK258" s="117">
        <v>21301</v>
      </c>
      <c r="BL258" s="161">
        <v>15</v>
      </c>
      <c r="BM258" s="161">
        <v>-11153</v>
      </c>
      <c r="BN258" s="117">
        <v>4404</v>
      </c>
      <c r="BO258" s="117">
        <v>6928</v>
      </c>
      <c r="BP258" s="136"/>
      <c r="BR258" s="160">
        <v>-109</v>
      </c>
      <c r="BS258" s="160">
        <v>264</v>
      </c>
      <c r="BT258" s="161">
        <v>334</v>
      </c>
      <c r="BU258" s="125">
        <v>1066</v>
      </c>
      <c r="BV258" s="161">
        <v>0</v>
      </c>
      <c r="BX258" s="161">
        <v>-732</v>
      </c>
      <c r="BY258" s="161">
        <v>-6</v>
      </c>
      <c r="BZ258" s="161">
        <v>56</v>
      </c>
      <c r="CA258" s="161">
        <v>3</v>
      </c>
      <c r="CB258" s="161">
        <v>-1</v>
      </c>
      <c r="CC258" s="160">
        <v>-686</v>
      </c>
      <c r="CD258" s="160">
        <v>1079</v>
      </c>
      <c r="CE258" s="116">
        <v>298</v>
      </c>
      <c r="CF258" s="150"/>
      <c r="CG258" s="161">
        <v>653</v>
      </c>
      <c r="CH258" s="160">
        <v>-1936</v>
      </c>
      <c r="CI258" s="159">
        <v>-283</v>
      </c>
      <c r="CK258" s="124"/>
      <c r="CL258" s="161"/>
      <c r="CM258" s="124"/>
      <c r="CN258" s="265">
        <v>20.75</v>
      </c>
      <c r="CO258" s="130"/>
      <c r="CP258" s="116">
        <v>234</v>
      </c>
      <c r="CQ258" s="267">
        <v>1503</v>
      </c>
      <c r="CR258" s="124"/>
      <c r="CS258" s="268">
        <v>1.3533260632497273</v>
      </c>
      <c r="CT258" s="269">
        <v>74.85346613194659</v>
      </c>
      <c r="CU258" s="160">
        <v>-7061.2109115103121</v>
      </c>
      <c r="CV258" s="130"/>
      <c r="CW258" s="130"/>
      <c r="CX258" s="130"/>
      <c r="CY258" s="269">
        <v>36.48609396557984</v>
      </c>
      <c r="CZ258" s="125">
        <v>2796.4071856287424</v>
      </c>
      <c r="DA258" s="125">
        <v>63.199101919749531</v>
      </c>
      <c r="DB258" s="273">
        <v>16150.365934797073</v>
      </c>
      <c r="DC258" s="124"/>
      <c r="DD258" s="117">
        <v>10114</v>
      </c>
      <c r="DE258" s="117">
        <v>21634</v>
      </c>
      <c r="DF258" s="117">
        <v>38</v>
      </c>
      <c r="DG258" s="117">
        <v>-11482</v>
      </c>
      <c r="DH258" s="117">
        <v>4816</v>
      </c>
      <c r="DI258" s="117">
        <v>7761</v>
      </c>
      <c r="DJ258" s="136"/>
      <c r="DL258" s="160">
        <v>-60</v>
      </c>
      <c r="DM258" s="160">
        <v>136</v>
      </c>
      <c r="DN258" s="161">
        <v>1171</v>
      </c>
      <c r="DO258" s="116">
        <v>1112</v>
      </c>
      <c r="DP258" s="161">
        <v>7</v>
      </c>
      <c r="DR258" s="161">
        <v>66</v>
      </c>
      <c r="DS258" s="117">
        <v>-4</v>
      </c>
      <c r="DT258" s="117">
        <v>1</v>
      </c>
      <c r="DU258" s="117">
        <v>10</v>
      </c>
      <c r="DV258" s="117">
        <v>-1</v>
      </c>
      <c r="DW258" s="160">
        <v>52</v>
      </c>
      <c r="DX258" s="160">
        <v>1256</v>
      </c>
      <c r="DY258" s="116">
        <v>1213</v>
      </c>
      <c r="DZ258" s="150"/>
      <c r="EA258" s="117">
        <v>-98</v>
      </c>
      <c r="EB258" s="116">
        <v>-847</v>
      </c>
      <c r="EC258" s="159">
        <v>-267</v>
      </c>
      <c r="EE258" s="125"/>
      <c r="EF258" s="161"/>
      <c r="EG258" s="124"/>
      <c r="EH258" s="253">
        <v>21.5</v>
      </c>
      <c r="EI258" s="130"/>
      <c r="EJ258" s="125">
        <v>229</v>
      </c>
      <c r="EK258" s="116"/>
      <c r="EL258" s="159"/>
      <c r="EN258" s="116"/>
      <c r="EO258" s="116"/>
      <c r="EP258" s="159"/>
      <c r="EQ258" s="159">
        <v>-1739</v>
      </c>
      <c r="ER258" s="116">
        <v>290</v>
      </c>
      <c r="ES258" s="116">
        <v>592</v>
      </c>
      <c r="ET258" s="160">
        <v>-1838</v>
      </c>
      <c r="EU258" s="116">
        <v>70</v>
      </c>
      <c r="EV258" s="116">
        <v>1187</v>
      </c>
      <c r="EW258" s="160">
        <v>-1643</v>
      </c>
      <c r="EX258" s="160">
        <v>105</v>
      </c>
      <c r="EY258" s="160">
        <v>58</v>
      </c>
      <c r="EZ258" s="116">
        <v>1548</v>
      </c>
      <c r="FA258" s="116">
        <v>-330</v>
      </c>
      <c r="FB258" s="116">
        <v>1190</v>
      </c>
      <c r="FC258" s="160">
        <v>-70</v>
      </c>
      <c r="FD258" s="116">
        <v>865</v>
      </c>
      <c r="FE258" s="116">
        <v>487</v>
      </c>
      <c r="FF258" s="3">
        <v>12874</v>
      </c>
      <c r="FG258" s="3">
        <v>10707</v>
      </c>
      <c r="FH258" s="3">
        <v>2167</v>
      </c>
      <c r="FI258" s="3">
        <v>36</v>
      </c>
      <c r="FJ258" s="125">
        <v>12779</v>
      </c>
      <c r="FK258" s="160">
        <v>10150</v>
      </c>
      <c r="FL258" s="125">
        <v>2629</v>
      </c>
      <c r="FM258" s="116">
        <v>36</v>
      </c>
      <c r="FN258" s="125">
        <v>14094</v>
      </c>
      <c r="FO258" s="116">
        <v>10337</v>
      </c>
      <c r="FP258" s="116">
        <v>3757</v>
      </c>
      <c r="FQ258" s="116">
        <v>-98</v>
      </c>
      <c r="FR258" s="153">
        <v>482</v>
      </c>
      <c r="FS258" s="153">
        <v>389</v>
      </c>
      <c r="FT258" s="276">
        <v>345</v>
      </c>
      <c r="FU258" s="3">
        <v>1659</v>
      </c>
      <c r="FV258" s="159">
        <v>1626</v>
      </c>
      <c r="FW258" s="170"/>
      <c r="FZ258" s="155"/>
      <c r="GA258" s="2"/>
      <c r="GD258" s="163"/>
      <c r="GE258" s="2"/>
      <c r="GF258" s="2"/>
    </row>
    <row r="259" spans="1:188" ht="14.5" x14ac:dyDescent="0.35">
      <c r="A259" s="72">
        <v>845</v>
      </c>
      <c r="B259" s="70" t="s">
        <v>249</v>
      </c>
      <c r="C259" s="158">
        <v>3062</v>
      </c>
      <c r="D259" s="171"/>
      <c r="E259" s="128">
        <v>2.7781456953642385</v>
      </c>
      <c r="F259" s="128">
        <v>36.84610092287253</v>
      </c>
      <c r="G259" s="129">
        <v>-509.79751796211627</v>
      </c>
      <c r="H259" s="216"/>
      <c r="I259" s="172"/>
      <c r="J259" s="218"/>
      <c r="K259" s="128">
        <v>61.029224019869545</v>
      </c>
      <c r="L259" s="129">
        <v>3418.3540169823641</v>
      </c>
      <c r="M259" s="129">
        <v>87.784173157785901</v>
      </c>
      <c r="N259" s="129">
        <v>14213.259307642064</v>
      </c>
      <c r="O259" s="129"/>
      <c r="P259" s="117">
        <v>19158</v>
      </c>
      <c r="Q259" s="161">
        <v>40056</v>
      </c>
      <c r="R259" s="161">
        <v>0</v>
      </c>
      <c r="S259" s="161">
        <v>-20898</v>
      </c>
      <c r="T259" s="124">
        <v>11246</v>
      </c>
      <c r="U259" s="124">
        <v>11747</v>
      </c>
      <c r="V259" s="136"/>
      <c r="X259" s="116">
        <v>-61</v>
      </c>
      <c r="Y259" s="116">
        <v>410</v>
      </c>
      <c r="Z259" s="161">
        <v>2444</v>
      </c>
      <c r="AA259" s="116">
        <v>2316</v>
      </c>
      <c r="AB259" s="117">
        <v>0</v>
      </c>
      <c r="AD259" s="161">
        <v>128</v>
      </c>
      <c r="AE259" s="117">
        <v>0</v>
      </c>
      <c r="AF259" s="117">
        <v>12</v>
      </c>
      <c r="AG259" s="116">
        <v>0</v>
      </c>
      <c r="AH259" s="116">
        <v>-23</v>
      </c>
      <c r="AI259" s="160">
        <v>117</v>
      </c>
      <c r="AJ259" s="161">
        <v>17529</v>
      </c>
      <c r="AK259" s="161">
        <v>2681</v>
      </c>
      <c r="AL259" s="150"/>
      <c r="AM259" s="161">
        <v>111</v>
      </c>
      <c r="AN259" s="161">
        <v>-833</v>
      </c>
      <c r="AO259" s="160">
        <v>582</v>
      </c>
      <c r="AQ259" s="160"/>
      <c r="AR259" s="117"/>
      <c r="AS259" s="117"/>
      <c r="AT259" s="99">
        <v>19.5</v>
      </c>
      <c r="AU259" s="130"/>
      <c r="AV259" s="262">
        <v>50</v>
      </c>
      <c r="AW259" s="267">
        <v>3001</v>
      </c>
      <c r="AX259" s="124"/>
      <c r="AY259" s="255">
        <v>4.5093167701863353</v>
      </c>
      <c r="AZ259" s="259">
        <v>39.206716267846367</v>
      </c>
      <c r="BA259" s="160">
        <v>-775.07497500833051</v>
      </c>
      <c r="BB259" s="130"/>
      <c r="BC259" s="130"/>
      <c r="BD259" s="130"/>
      <c r="BE259" s="128">
        <v>59.64330845711833</v>
      </c>
      <c r="BF259" s="160">
        <v>3234.9216927690773</v>
      </c>
      <c r="BG259" s="129">
        <v>91.580227681246257</v>
      </c>
      <c r="BH259" s="131">
        <v>13903.698767077642</v>
      </c>
      <c r="BI259" s="124"/>
      <c r="BJ259" s="117">
        <v>17021</v>
      </c>
      <c r="BK259" s="117">
        <v>38731</v>
      </c>
      <c r="BL259" s="161">
        <v>0</v>
      </c>
      <c r="BM259" s="161">
        <v>-21710</v>
      </c>
      <c r="BN259" s="117">
        <v>11202</v>
      </c>
      <c r="BO259" s="117">
        <v>11561</v>
      </c>
      <c r="BP259" s="136"/>
      <c r="BR259" s="160">
        <v>-68</v>
      </c>
      <c r="BS259" s="160">
        <v>395</v>
      </c>
      <c r="BT259" s="161">
        <v>1380</v>
      </c>
      <c r="BU259" s="125">
        <v>2469</v>
      </c>
      <c r="BV259" s="161">
        <v>0</v>
      </c>
      <c r="BX259" s="161">
        <v>-1089</v>
      </c>
      <c r="BY259" s="161">
        <v>0</v>
      </c>
      <c r="BZ259" s="161">
        <v>2</v>
      </c>
      <c r="CA259" s="160">
        <v>0</v>
      </c>
      <c r="CB259" s="160">
        <v>12</v>
      </c>
      <c r="CC259" s="160">
        <v>-1075</v>
      </c>
      <c r="CD259" s="160">
        <v>16260</v>
      </c>
      <c r="CE259" s="116">
        <v>1438</v>
      </c>
      <c r="CF259" s="150"/>
      <c r="CG259" s="161">
        <v>-63</v>
      </c>
      <c r="CH259" s="160">
        <v>-250</v>
      </c>
      <c r="CI259" s="159">
        <v>-977</v>
      </c>
      <c r="CK259" s="124"/>
      <c r="CL259" s="161"/>
      <c r="CM259" s="124"/>
      <c r="CN259" s="265">
        <v>19.5</v>
      </c>
      <c r="CO259" s="130"/>
      <c r="CP259" s="116">
        <v>137</v>
      </c>
      <c r="CQ259" s="267">
        <v>2925</v>
      </c>
      <c r="CR259" s="124"/>
      <c r="CS259" s="268">
        <v>6.0745098039215684</v>
      </c>
      <c r="CT259" s="269">
        <v>38.063297576095117</v>
      </c>
      <c r="CU259" s="160">
        <v>-810.9401709401709</v>
      </c>
      <c r="CV259" s="130"/>
      <c r="CW259" s="130"/>
      <c r="CX259" s="130"/>
      <c r="CY259" s="269">
        <v>60.335798990254787</v>
      </c>
      <c r="CZ259" s="125">
        <v>3616.4102564102564</v>
      </c>
      <c r="DA259" s="125">
        <v>91.787989729935333</v>
      </c>
      <c r="DB259" s="273">
        <v>14380.854700854701</v>
      </c>
      <c r="DC259" s="124"/>
      <c r="DD259" s="117">
        <v>16447</v>
      </c>
      <c r="DE259" s="117">
        <v>38750</v>
      </c>
      <c r="DF259" s="117">
        <v>0</v>
      </c>
      <c r="DG259" s="117">
        <v>-22303</v>
      </c>
      <c r="DH259" s="117">
        <v>11510</v>
      </c>
      <c r="DI259" s="117">
        <v>13340</v>
      </c>
      <c r="DJ259" s="136"/>
      <c r="DL259" s="160">
        <v>-60</v>
      </c>
      <c r="DM259" s="160">
        <v>541</v>
      </c>
      <c r="DN259" s="161">
        <v>3028</v>
      </c>
      <c r="DO259" s="116">
        <v>2323</v>
      </c>
      <c r="DP259" s="161">
        <v>-2</v>
      </c>
      <c r="DR259" s="161">
        <v>703</v>
      </c>
      <c r="DS259" s="117">
        <v>0</v>
      </c>
      <c r="DT259" s="117">
        <v>-14</v>
      </c>
      <c r="DU259" s="116">
        <v>0</v>
      </c>
      <c r="DV259" s="116">
        <v>-3</v>
      </c>
      <c r="DW259" s="160">
        <v>686</v>
      </c>
      <c r="DX259" s="160">
        <v>16946</v>
      </c>
      <c r="DY259" s="116">
        <v>2815</v>
      </c>
      <c r="DZ259" s="150"/>
      <c r="EA259" s="117">
        <v>794</v>
      </c>
      <c r="EB259" s="116">
        <v>-440</v>
      </c>
      <c r="EC259" s="159">
        <v>362</v>
      </c>
      <c r="EE259" s="125"/>
      <c r="EF259" s="161"/>
      <c r="EG259" s="124"/>
      <c r="EH259" s="253">
        <v>20</v>
      </c>
      <c r="EI259" s="130"/>
      <c r="EJ259" s="125">
        <v>120</v>
      </c>
      <c r="EK259" s="116"/>
      <c r="EL259" s="159"/>
      <c r="EN259" s="116"/>
      <c r="EO259" s="116"/>
      <c r="EP259" s="159"/>
      <c r="EQ259" s="159">
        <v>-2455</v>
      </c>
      <c r="ER259" s="116">
        <v>94</v>
      </c>
      <c r="ES259" s="116">
        <v>262</v>
      </c>
      <c r="ET259" s="160">
        <v>-2556</v>
      </c>
      <c r="EU259" s="116">
        <v>94</v>
      </c>
      <c r="EV259" s="116">
        <v>47</v>
      </c>
      <c r="EW259" s="160">
        <v>-2641</v>
      </c>
      <c r="EX259" s="160">
        <v>185</v>
      </c>
      <c r="EY259" s="160">
        <v>3</v>
      </c>
      <c r="EZ259" s="116">
        <v>30</v>
      </c>
      <c r="FA259" s="116">
        <v>617</v>
      </c>
      <c r="FB259" s="116">
        <v>704</v>
      </c>
      <c r="FC259" s="160">
        <v>-175</v>
      </c>
      <c r="FD259" s="116">
        <v>227</v>
      </c>
      <c r="FE259" s="116">
        <v>194</v>
      </c>
      <c r="FF259" s="3">
        <v>6542</v>
      </c>
      <c r="FG259" s="3">
        <v>5286</v>
      </c>
      <c r="FH259" s="3">
        <v>1256</v>
      </c>
      <c r="FI259" s="3">
        <v>0</v>
      </c>
      <c r="FJ259" s="125">
        <v>6822</v>
      </c>
      <c r="FK259" s="160">
        <v>5740</v>
      </c>
      <c r="FL259" s="125">
        <v>1082</v>
      </c>
      <c r="FM259" s="116">
        <v>0</v>
      </c>
      <c r="FN259" s="125">
        <v>6801</v>
      </c>
      <c r="FO259" s="116">
        <v>5525</v>
      </c>
      <c r="FP259" s="116">
        <v>1276</v>
      </c>
      <c r="FQ259" s="116">
        <v>794</v>
      </c>
      <c r="FR259" s="153">
        <v>196</v>
      </c>
      <c r="FS259" s="153">
        <v>252</v>
      </c>
      <c r="FT259" s="276">
        <v>241</v>
      </c>
      <c r="FU259" s="3">
        <v>765</v>
      </c>
      <c r="FV259" s="159">
        <v>623</v>
      </c>
      <c r="FW259" s="170"/>
      <c r="FZ259" s="155"/>
      <c r="GA259" s="2"/>
      <c r="GD259" s="163"/>
      <c r="GE259" s="2"/>
      <c r="GF259" s="2"/>
    </row>
    <row r="260" spans="1:188" ht="14.5" x14ac:dyDescent="0.35">
      <c r="A260" s="72">
        <v>846</v>
      </c>
      <c r="B260" s="70" t="s">
        <v>250</v>
      </c>
      <c r="C260" s="158">
        <v>5158</v>
      </c>
      <c r="D260" s="171"/>
      <c r="E260" s="128">
        <v>1.1512800620636152</v>
      </c>
      <c r="F260" s="128">
        <v>52.446835767358444</v>
      </c>
      <c r="G260" s="129">
        <v>-4853.6254362155869</v>
      </c>
      <c r="H260" s="216"/>
      <c r="I260" s="172"/>
      <c r="J260" s="218"/>
      <c r="K260" s="128">
        <v>29.375452052951172</v>
      </c>
      <c r="L260" s="129">
        <v>1047.8867778208607</v>
      </c>
      <c r="M260" s="129">
        <v>24.309645858491262</v>
      </c>
      <c r="N260" s="129">
        <v>15733.617681271811</v>
      </c>
      <c r="O260" s="129"/>
      <c r="P260" s="117">
        <v>42173</v>
      </c>
      <c r="Q260" s="161">
        <v>75198</v>
      </c>
      <c r="R260" s="161">
        <v>27</v>
      </c>
      <c r="S260" s="161">
        <v>-32998</v>
      </c>
      <c r="T260" s="124">
        <v>15744</v>
      </c>
      <c r="U260" s="124">
        <v>20143</v>
      </c>
      <c r="V260" s="136"/>
      <c r="X260" s="116">
        <v>-284</v>
      </c>
      <c r="Y260" s="116">
        <v>49</v>
      </c>
      <c r="Z260" s="161">
        <v>2654</v>
      </c>
      <c r="AA260" s="116">
        <v>2923</v>
      </c>
      <c r="AB260" s="116">
        <v>153</v>
      </c>
      <c r="AD260" s="161">
        <v>-116</v>
      </c>
      <c r="AE260" s="117">
        <v>-2</v>
      </c>
      <c r="AF260" s="117">
        <v>-7</v>
      </c>
      <c r="AG260" s="116">
        <v>0</v>
      </c>
      <c r="AH260" s="116">
        <v>-3</v>
      </c>
      <c r="AI260" s="160">
        <v>-128</v>
      </c>
      <c r="AJ260" s="161">
        <v>-6658</v>
      </c>
      <c r="AK260" s="161">
        <v>3056</v>
      </c>
      <c r="AL260" s="150"/>
      <c r="AM260" s="161">
        <v>467</v>
      </c>
      <c r="AN260" s="161">
        <v>-2264</v>
      </c>
      <c r="AO260" s="160">
        <v>-216</v>
      </c>
      <c r="AQ260" s="160"/>
      <c r="AR260" s="117"/>
      <c r="AS260" s="117"/>
      <c r="AT260" s="99">
        <v>22.5</v>
      </c>
      <c r="AU260" s="130"/>
      <c r="AV260" s="262">
        <v>137</v>
      </c>
      <c r="AW260" s="267">
        <v>5076</v>
      </c>
      <c r="AX260" s="124"/>
      <c r="AY260" s="255">
        <v>0.63126217029562759</v>
      </c>
      <c r="AZ260" s="259">
        <v>51.245670730922249</v>
      </c>
      <c r="BA260" s="160">
        <v>-4721.8282111899134</v>
      </c>
      <c r="BB260" s="130"/>
      <c r="BC260" s="130"/>
      <c r="BD260" s="130"/>
      <c r="BE260" s="128">
        <v>28.483724835149459</v>
      </c>
      <c r="BF260" s="160">
        <v>1086.8794326241136</v>
      </c>
      <c r="BG260" s="129">
        <v>23.883501610130505</v>
      </c>
      <c r="BH260" s="131">
        <v>16273.049645390071</v>
      </c>
      <c r="BI260" s="124"/>
      <c r="BJ260" s="117">
        <v>41689</v>
      </c>
      <c r="BK260" s="117">
        <v>74082</v>
      </c>
      <c r="BL260" s="161">
        <v>-106</v>
      </c>
      <c r="BM260" s="161">
        <v>-32499</v>
      </c>
      <c r="BN260" s="117">
        <v>16556</v>
      </c>
      <c r="BO260" s="117">
        <v>19424</v>
      </c>
      <c r="BP260" s="136"/>
      <c r="BR260" s="160">
        <v>-254</v>
      </c>
      <c r="BS260" s="160">
        <v>59</v>
      </c>
      <c r="BT260" s="161">
        <v>3286</v>
      </c>
      <c r="BU260" s="125">
        <v>4083</v>
      </c>
      <c r="BV260" s="160">
        <v>-25</v>
      </c>
      <c r="BX260" s="161">
        <v>-822</v>
      </c>
      <c r="BY260" s="161">
        <v>8</v>
      </c>
      <c r="BZ260" s="160">
        <v>0</v>
      </c>
      <c r="CA260" s="160">
        <v>13</v>
      </c>
      <c r="CB260" s="160">
        <v>10</v>
      </c>
      <c r="CC260" s="160">
        <v>-817</v>
      </c>
      <c r="CD260" s="160">
        <v>-7916</v>
      </c>
      <c r="CE260" s="116">
        <v>3384</v>
      </c>
      <c r="CF260" s="150"/>
      <c r="CG260" s="161">
        <v>639</v>
      </c>
      <c r="CH260" s="160">
        <v>-5369</v>
      </c>
      <c r="CI260" s="159">
        <v>971</v>
      </c>
      <c r="CK260" s="124"/>
      <c r="CL260" s="161"/>
      <c r="CM260" s="124"/>
      <c r="CN260" s="265">
        <v>22.5</v>
      </c>
      <c r="CO260" s="130"/>
      <c r="CP260" s="116">
        <v>74</v>
      </c>
      <c r="CQ260" s="267">
        <v>4994</v>
      </c>
      <c r="CR260" s="124"/>
      <c r="CS260" s="268">
        <v>2.5353881278538815</v>
      </c>
      <c r="CT260" s="269">
        <v>46.052782048512725</v>
      </c>
      <c r="CU260" s="160">
        <v>-3985.3824589507408</v>
      </c>
      <c r="CV260" s="130"/>
      <c r="CW260" s="130"/>
      <c r="CX260" s="130"/>
      <c r="CY260" s="269">
        <v>34.795367880928531</v>
      </c>
      <c r="CZ260" s="125">
        <v>1298.3580296355626</v>
      </c>
      <c r="DA260" s="125">
        <v>30.796637518217779</v>
      </c>
      <c r="DB260" s="273">
        <v>15388.065678814577</v>
      </c>
      <c r="DC260" s="124"/>
      <c r="DD260" s="117">
        <v>41149</v>
      </c>
      <c r="DE260" s="117">
        <v>72345</v>
      </c>
      <c r="DF260" s="117">
        <v>200</v>
      </c>
      <c r="DG260" s="117">
        <v>-30996</v>
      </c>
      <c r="DH260" s="117">
        <v>16776</v>
      </c>
      <c r="DI260" s="117">
        <v>20776</v>
      </c>
      <c r="DJ260" s="136"/>
      <c r="DL260" s="160">
        <v>-243</v>
      </c>
      <c r="DM260" s="160">
        <v>84</v>
      </c>
      <c r="DN260" s="161">
        <v>6397</v>
      </c>
      <c r="DO260" s="116">
        <v>2723</v>
      </c>
      <c r="DP260" s="160">
        <v>0</v>
      </c>
      <c r="DR260" s="161">
        <v>3674</v>
      </c>
      <c r="DS260" s="117">
        <v>-2</v>
      </c>
      <c r="DT260" s="116">
        <v>0</v>
      </c>
      <c r="DU260" s="116">
        <v>2</v>
      </c>
      <c r="DV260" s="116">
        <v>-19</v>
      </c>
      <c r="DW260" s="160">
        <v>3651</v>
      </c>
      <c r="DX260" s="160">
        <v>-4398</v>
      </c>
      <c r="DY260" s="116">
        <v>6029</v>
      </c>
      <c r="DZ260" s="150"/>
      <c r="EA260" s="117">
        <v>913</v>
      </c>
      <c r="EB260" s="116">
        <v>-2362</v>
      </c>
      <c r="EC260" s="159">
        <v>4298</v>
      </c>
      <c r="EE260" s="125"/>
      <c r="EF260" s="161"/>
      <c r="EG260" s="124"/>
      <c r="EH260" s="253">
        <v>22.5</v>
      </c>
      <c r="EI260" s="130"/>
      <c r="EJ260" s="125">
        <v>56</v>
      </c>
      <c r="EK260" s="116"/>
      <c r="EL260" s="159"/>
      <c r="EN260" s="116"/>
      <c r="EO260" s="116"/>
      <c r="EP260" s="159"/>
      <c r="EQ260" s="159">
        <v>-3343</v>
      </c>
      <c r="ER260" s="116">
        <v>1</v>
      </c>
      <c r="ES260" s="116">
        <v>70</v>
      </c>
      <c r="ET260" s="160">
        <v>-2840</v>
      </c>
      <c r="EU260" s="116">
        <v>14</v>
      </c>
      <c r="EV260" s="116">
        <v>413</v>
      </c>
      <c r="EW260" s="160">
        <v>-1849</v>
      </c>
      <c r="EX260" s="160">
        <v>0</v>
      </c>
      <c r="EY260" s="160">
        <v>118</v>
      </c>
      <c r="EZ260" s="116">
        <v>1784</v>
      </c>
      <c r="FA260" s="116">
        <v>-304</v>
      </c>
      <c r="FB260" s="116">
        <v>1191</v>
      </c>
      <c r="FC260" s="160">
        <v>3355</v>
      </c>
      <c r="FD260" s="116">
        <v>4312</v>
      </c>
      <c r="FE260" s="116">
        <v>-4643</v>
      </c>
      <c r="FF260" s="3">
        <v>31221</v>
      </c>
      <c r="FG260" s="3">
        <v>26413</v>
      </c>
      <c r="FH260" s="3">
        <v>4808</v>
      </c>
      <c r="FI260" s="3">
        <v>1339</v>
      </c>
      <c r="FJ260" s="125">
        <v>30500</v>
      </c>
      <c r="FK260" s="160">
        <v>22928</v>
      </c>
      <c r="FL260" s="125">
        <v>7572</v>
      </c>
      <c r="FM260" s="116">
        <v>1286</v>
      </c>
      <c r="FN260" s="125">
        <v>27807</v>
      </c>
      <c r="FO260" s="116">
        <v>24150</v>
      </c>
      <c r="FP260" s="116">
        <v>3657</v>
      </c>
      <c r="FQ260" s="116">
        <v>913</v>
      </c>
      <c r="FR260" s="153">
        <v>195</v>
      </c>
      <c r="FS260" s="153">
        <v>1607</v>
      </c>
      <c r="FT260" s="276">
        <v>1579</v>
      </c>
      <c r="FU260" s="3">
        <v>1627</v>
      </c>
      <c r="FV260" s="159">
        <v>1844</v>
      </c>
      <c r="FW260" s="170"/>
      <c r="FZ260" s="155"/>
      <c r="GA260" s="2"/>
      <c r="GD260" s="163"/>
      <c r="GE260" s="2"/>
      <c r="GF260" s="2"/>
    </row>
    <row r="261" spans="1:188" ht="14.5" x14ac:dyDescent="0.35">
      <c r="A261" s="72">
        <v>848</v>
      </c>
      <c r="B261" s="70" t="s">
        <v>251</v>
      </c>
      <c r="C261" s="158">
        <v>4482</v>
      </c>
      <c r="D261" s="171"/>
      <c r="E261" s="128">
        <v>0.35146022155085599</v>
      </c>
      <c r="F261" s="128">
        <v>31.25515923013425</v>
      </c>
      <c r="G261" s="129">
        <v>-3310.352521195895</v>
      </c>
      <c r="H261" s="216"/>
      <c r="I261" s="172"/>
      <c r="J261" s="218"/>
      <c r="K261" s="128">
        <v>41.322832997566785</v>
      </c>
      <c r="L261" s="129">
        <v>978.13476126729142</v>
      </c>
      <c r="M261" s="129">
        <v>21.619985678191668</v>
      </c>
      <c r="N261" s="129">
        <v>16513.38688085676</v>
      </c>
      <c r="O261" s="129"/>
      <c r="P261" s="117">
        <v>37800</v>
      </c>
      <c r="Q261" s="161">
        <v>68558</v>
      </c>
      <c r="R261" s="161">
        <v>-3</v>
      </c>
      <c r="S261" s="161">
        <v>-30761</v>
      </c>
      <c r="T261" s="124">
        <v>13123</v>
      </c>
      <c r="U261" s="124">
        <v>18128</v>
      </c>
      <c r="V261" s="136"/>
      <c r="X261" s="116">
        <v>-79</v>
      </c>
      <c r="Y261" s="116">
        <v>197</v>
      </c>
      <c r="Z261" s="161">
        <v>608</v>
      </c>
      <c r="AA261" s="116">
        <v>1708</v>
      </c>
      <c r="AB261" s="116">
        <v>0</v>
      </c>
      <c r="AD261" s="161">
        <v>-1100</v>
      </c>
      <c r="AE261" s="117">
        <v>0</v>
      </c>
      <c r="AF261" s="117">
        <v>0</v>
      </c>
      <c r="AG261" s="116">
        <v>0</v>
      </c>
      <c r="AH261" s="116">
        <v>22</v>
      </c>
      <c r="AI261" s="160">
        <v>-1078</v>
      </c>
      <c r="AJ261" s="161">
        <v>330</v>
      </c>
      <c r="AK261" s="161">
        <v>654</v>
      </c>
      <c r="AL261" s="150"/>
      <c r="AM261" s="161">
        <v>-54</v>
      </c>
      <c r="AN261" s="161">
        <v>-1896</v>
      </c>
      <c r="AO261" s="160">
        <v>-2638</v>
      </c>
      <c r="AQ261" s="160"/>
      <c r="AR261" s="117"/>
      <c r="AS261" s="117"/>
      <c r="AT261" s="99">
        <v>21.75</v>
      </c>
      <c r="AU261" s="130"/>
      <c r="AV261" s="262">
        <v>268</v>
      </c>
      <c r="AW261" s="267">
        <v>4361</v>
      </c>
      <c r="AX261" s="124"/>
      <c r="AY261" s="255">
        <v>0.41617977528089889</v>
      </c>
      <c r="AZ261" s="259">
        <v>34.851711570070748</v>
      </c>
      <c r="BA261" s="160">
        <v>-4310.4792478789268</v>
      </c>
      <c r="BB261" s="130"/>
      <c r="BC261" s="130"/>
      <c r="BD261" s="130"/>
      <c r="BE261" s="128">
        <v>36.821636910022981</v>
      </c>
      <c r="BF261" s="160">
        <v>733.77665673010767</v>
      </c>
      <c r="BG261" s="129">
        <v>20.987631651430295</v>
      </c>
      <c r="BH261" s="131">
        <v>17482.916762210505</v>
      </c>
      <c r="BI261" s="124"/>
      <c r="BJ261" s="117">
        <v>37999</v>
      </c>
      <c r="BK261" s="117">
        <v>69238</v>
      </c>
      <c r="BL261" s="161">
        <v>5</v>
      </c>
      <c r="BM261" s="161">
        <v>-31234</v>
      </c>
      <c r="BN261" s="117">
        <v>13555</v>
      </c>
      <c r="BO261" s="117">
        <v>18411</v>
      </c>
      <c r="BP261" s="136"/>
      <c r="BR261" s="160">
        <v>-74</v>
      </c>
      <c r="BS261" s="160">
        <v>178</v>
      </c>
      <c r="BT261" s="161">
        <v>836</v>
      </c>
      <c r="BU261" s="125">
        <v>1844</v>
      </c>
      <c r="BV261" s="160">
        <v>0</v>
      </c>
      <c r="BX261" s="161">
        <v>-1008</v>
      </c>
      <c r="BY261" s="161">
        <v>-4</v>
      </c>
      <c r="BZ261" s="160">
        <v>-2</v>
      </c>
      <c r="CA261" s="160">
        <v>1</v>
      </c>
      <c r="CB261" s="160">
        <v>-4</v>
      </c>
      <c r="CC261" s="160">
        <v>-1019</v>
      </c>
      <c r="CD261" s="160">
        <v>-766</v>
      </c>
      <c r="CE261" s="116">
        <v>643</v>
      </c>
      <c r="CF261" s="150"/>
      <c r="CG261" s="160">
        <v>-25</v>
      </c>
      <c r="CH261" s="160">
        <v>-2135</v>
      </c>
      <c r="CI261" s="159">
        <v>-3987</v>
      </c>
      <c r="CK261" s="124"/>
      <c r="CL261" s="161"/>
      <c r="CM261" s="124"/>
      <c r="CN261" s="265">
        <v>21.75</v>
      </c>
      <c r="CO261" s="130"/>
      <c r="CP261" s="116">
        <v>241</v>
      </c>
      <c r="CQ261" s="267">
        <v>4307</v>
      </c>
      <c r="CR261" s="124"/>
      <c r="CS261" s="268">
        <v>1.386576482830385</v>
      </c>
      <c r="CT261" s="269">
        <v>35.82314543342369</v>
      </c>
      <c r="CU261" s="160">
        <v>-4424.1931739029487</v>
      </c>
      <c r="CV261" s="130"/>
      <c r="CW261" s="130"/>
      <c r="CX261" s="130"/>
      <c r="CY261" s="269">
        <v>35.893324530170482</v>
      </c>
      <c r="CZ261" s="125">
        <v>740.886928256327</v>
      </c>
      <c r="DA261" s="125">
        <v>15.427506093038042</v>
      </c>
      <c r="DB261" s="273">
        <v>17528.674251218945</v>
      </c>
      <c r="DC261" s="124"/>
      <c r="DD261" s="117">
        <v>40042</v>
      </c>
      <c r="DE261" s="117">
        <v>69850</v>
      </c>
      <c r="DF261" s="117">
        <v>0</v>
      </c>
      <c r="DG261" s="117">
        <v>-29808</v>
      </c>
      <c r="DH261" s="117">
        <v>13506</v>
      </c>
      <c r="DI261" s="117">
        <v>18760</v>
      </c>
      <c r="DJ261" s="136"/>
      <c r="DL261" s="160">
        <v>-72</v>
      </c>
      <c r="DM261" s="160">
        <v>168</v>
      </c>
      <c r="DN261" s="161">
        <v>2554</v>
      </c>
      <c r="DO261" s="116">
        <v>2345</v>
      </c>
      <c r="DP261" s="160">
        <v>0</v>
      </c>
      <c r="DR261" s="161">
        <v>209</v>
      </c>
      <c r="DS261" s="117">
        <v>0</v>
      </c>
      <c r="DT261" s="116">
        <v>-7</v>
      </c>
      <c r="DU261" s="116">
        <v>3</v>
      </c>
      <c r="DV261" s="116">
        <v>-3</v>
      </c>
      <c r="DW261" s="160">
        <v>196</v>
      </c>
      <c r="DX261" s="160">
        <v>-423</v>
      </c>
      <c r="DY261" s="116">
        <v>2699</v>
      </c>
      <c r="DZ261" s="150"/>
      <c r="EA261" s="116">
        <v>-1270</v>
      </c>
      <c r="EB261" s="116">
        <v>-1811</v>
      </c>
      <c r="EC261" s="159">
        <v>-540</v>
      </c>
      <c r="EE261" s="125"/>
      <c r="EF261" s="161"/>
      <c r="EG261" s="124"/>
      <c r="EH261" s="253">
        <v>21.75</v>
      </c>
      <c r="EI261" s="130"/>
      <c r="EJ261" s="125">
        <v>275</v>
      </c>
      <c r="EK261" s="116"/>
      <c r="EL261" s="159"/>
      <c r="EN261" s="116"/>
      <c r="EO261" s="116"/>
      <c r="EP261" s="159"/>
      <c r="EQ261" s="159">
        <v>-3465</v>
      </c>
      <c r="ER261" s="116">
        <v>74</v>
      </c>
      <c r="ES261" s="116">
        <v>99</v>
      </c>
      <c r="ET261" s="160">
        <v>-4776</v>
      </c>
      <c r="EU261" s="116">
        <v>67</v>
      </c>
      <c r="EV261" s="116">
        <v>79</v>
      </c>
      <c r="EW261" s="160">
        <v>-3702</v>
      </c>
      <c r="EX261" s="160">
        <v>194</v>
      </c>
      <c r="EY261" s="160">
        <v>269</v>
      </c>
      <c r="EZ261" s="116">
        <v>1500</v>
      </c>
      <c r="FA261" s="116">
        <v>712</v>
      </c>
      <c r="FB261" s="116">
        <v>3442</v>
      </c>
      <c r="FC261" s="160">
        <v>1841</v>
      </c>
      <c r="FD261" s="116">
        <v>1941</v>
      </c>
      <c r="FE261" s="116">
        <v>492</v>
      </c>
      <c r="FF261" s="3">
        <v>13084</v>
      </c>
      <c r="FG261" s="3">
        <v>10969</v>
      </c>
      <c r="FH261" s="3">
        <v>2115</v>
      </c>
      <c r="FI261" s="3">
        <v>343</v>
      </c>
      <c r="FJ261" s="125">
        <v>16269</v>
      </c>
      <c r="FK261" s="160">
        <v>12176</v>
      </c>
      <c r="FL261" s="125">
        <v>4093</v>
      </c>
      <c r="FM261" s="116">
        <v>307</v>
      </c>
      <c r="FN261" s="125">
        <v>16901</v>
      </c>
      <c r="FO261" s="116">
        <v>12155</v>
      </c>
      <c r="FP261" s="116">
        <v>4746</v>
      </c>
      <c r="FQ261" s="116">
        <v>-1270</v>
      </c>
      <c r="FR261" s="153">
        <v>1310</v>
      </c>
      <c r="FS261" s="153">
        <v>1291</v>
      </c>
      <c r="FT261" s="276">
        <v>1439</v>
      </c>
      <c r="FU261" s="3">
        <v>1592</v>
      </c>
      <c r="FV261" s="159">
        <v>2442</v>
      </c>
      <c r="FW261" s="170"/>
      <c r="FZ261" s="155"/>
      <c r="GA261" s="2"/>
      <c r="GD261" s="163"/>
      <c r="GE261" s="2"/>
      <c r="GF261" s="2"/>
    </row>
    <row r="262" spans="1:188" ht="14.5" x14ac:dyDescent="0.35">
      <c r="A262" s="72">
        <v>849</v>
      </c>
      <c r="B262" s="70" t="s">
        <v>252</v>
      </c>
      <c r="C262" s="158">
        <v>3112</v>
      </c>
      <c r="D262" s="171"/>
      <c r="E262" s="128">
        <v>1.5015604101649576</v>
      </c>
      <c r="F262" s="128">
        <v>77.540640466362802</v>
      </c>
      <c r="G262" s="129">
        <v>-9974.2930591259646</v>
      </c>
      <c r="H262" s="216"/>
      <c r="I262" s="172"/>
      <c r="J262" s="218"/>
      <c r="K262" s="128">
        <v>30.032361345405722</v>
      </c>
      <c r="L262" s="129">
        <v>1689.5886889460155</v>
      </c>
      <c r="M262" s="129">
        <v>36.628177723490346</v>
      </c>
      <c r="N262" s="129">
        <v>16836.760925449875</v>
      </c>
      <c r="O262" s="129"/>
      <c r="P262" s="117">
        <v>30382</v>
      </c>
      <c r="Q262" s="161">
        <v>48020</v>
      </c>
      <c r="R262" s="161">
        <v>150</v>
      </c>
      <c r="S262" s="161">
        <v>-17488</v>
      </c>
      <c r="T262" s="124">
        <v>9255</v>
      </c>
      <c r="U262" s="124">
        <v>11482</v>
      </c>
      <c r="V262" s="136"/>
      <c r="X262" s="116">
        <v>-182</v>
      </c>
      <c r="Y262" s="116">
        <v>13</v>
      </c>
      <c r="Z262" s="161">
        <v>3080</v>
      </c>
      <c r="AA262" s="116">
        <v>2630</v>
      </c>
      <c r="AB262" s="116">
        <v>0</v>
      </c>
      <c r="AD262" s="161">
        <v>450</v>
      </c>
      <c r="AE262" s="116">
        <v>0</v>
      </c>
      <c r="AF262" s="116">
        <v>-55</v>
      </c>
      <c r="AG262" s="116">
        <v>0</v>
      </c>
      <c r="AH262" s="116">
        <v>0</v>
      </c>
      <c r="AI262" s="160">
        <v>395</v>
      </c>
      <c r="AJ262" s="161">
        <v>5048</v>
      </c>
      <c r="AK262" s="161">
        <v>2141</v>
      </c>
      <c r="AL262" s="150"/>
      <c r="AM262" s="161">
        <v>887</v>
      </c>
      <c r="AN262" s="161">
        <v>-1955</v>
      </c>
      <c r="AO262" s="160">
        <v>1682</v>
      </c>
      <c r="AQ262" s="160"/>
      <c r="AR262" s="117"/>
      <c r="AS262" s="117"/>
      <c r="AT262" s="99">
        <v>21.75</v>
      </c>
      <c r="AU262" s="130"/>
      <c r="AV262" s="262">
        <v>26</v>
      </c>
      <c r="AW262" s="267">
        <v>3033</v>
      </c>
      <c r="AX262" s="124"/>
      <c r="AY262" s="255">
        <v>0.90684575389948008</v>
      </c>
      <c r="AZ262" s="259">
        <v>78.446790389985935</v>
      </c>
      <c r="BA262" s="160">
        <v>-10262.776129244972</v>
      </c>
      <c r="BB262" s="130"/>
      <c r="BC262" s="130"/>
      <c r="BD262" s="130"/>
      <c r="BE262" s="128">
        <v>29.116686745936132</v>
      </c>
      <c r="BF262" s="160">
        <v>1671.6122650840753</v>
      </c>
      <c r="BG262" s="129">
        <v>36.442473843115657</v>
      </c>
      <c r="BH262" s="131">
        <v>17363.336630398942</v>
      </c>
      <c r="BI262" s="124"/>
      <c r="BJ262" s="117">
        <v>29663</v>
      </c>
      <c r="BK262" s="117">
        <v>48674</v>
      </c>
      <c r="BL262" s="161">
        <v>152</v>
      </c>
      <c r="BM262" s="161">
        <v>-18859</v>
      </c>
      <c r="BN262" s="117">
        <v>9265</v>
      </c>
      <c r="BO262" s="117">
        <v>11561</v>
      </c>
      <c r="BP262" s="136"/>
      <c r="BR262" s="160">
        <v>-154</v>
      </c>
      <c r="BS262" s="160">
        <v>28</v>
      </c>
      <c r="BT262" s="161">
        <v>1841</v>
      </c>
      <c r="BU262" s="125">
        <v>2643</v>
      </c>
      <c r="BV262" s="160">
        <v>0</v>
      </c>
      <c r="BX262" s="161">
        <v>-802</v>
      </c>
      <c r="BY262" s="160">
        <v>1</v>
      </c>
      <c r="BZ262" s="160">
        <v>-11</v>
      </c>
      <c r="CA262" s="160">
        <v>0</v>
      </c>
      <c r="CB262" s="160">
        <v>0</v>
      </c>
      <c r="CC262" s="160">
        <v>-812</v>
      </c>
      <c r="CD262" s="160">
        <v>4231</v>
      </c>
      <c r="CE262" s="116">
        <v>1717</v>
      </c>
      <c r="CF262" s="150"/>
      <c r="CG262" s="161">
        <v>-73</v>
      </c>
      <c r="CH262" s="160">
        <v>-2056</v>
      </c>
      <c r="CI262" s="159">
        <v>88</v>
      </c>
      <c r="CK262" s="124"/>
      <c r="CL262" s="161"/>
      <c r="CM262" s="124"/>
      <c r="CN262" s="265">
        <v>21.75</v>
      </c>
      <c r="CO262" s="130"/>
      <c r="CP262" s="116">
        <v>86</v>
      </c>
      <c r="CQ262" s="267">
        <v>2966</v>
      </c>
      <c r="CR262" s="124"/>
      <c r="CS262" s="268">
        <v>2.0371477369769426</v>
      </c>
      <c r="CT262" s="269">
        <v>77.345030367299714</v>
      </c>
      <c r="CU262" s="160">
        <v>-10094.066082265679</v>
      </c>
      <c r="CV262" s="130"/>
      <c r="CW262" s="130"/>
      <c r="CX262" s="130"/>
      <c r="CY262" s="269">
        <v>31.18270539028774</v>
      </c>
      <c r="CZ262" s="125">
        <v>2005.0573162508426</v>
      </c>
      <c r="DA262" s="125">
        <v>40.676392324413463</v>
      </c>
      <c r="DB262" s="273">
        <v>17991.908293998651</v>
      </c>
      <c r="DC262" s="124"/>
      <c r="DD262" s="117">
        <v>29108</v>
      </c>
      <c r="DE262" s="117">
        <v>47369</v>
      </c>
      <c r="DF262" s="117">
        <v>151</v>
      </c>
      <c r="DG262" s="117">
        <v>-18110</v>
      </c>
      <c r="DH262" s="117">
        <v>9363</v>
      </c>
      <c r="DI262" s="117">
        <v>13394</v>
      </c>
      <c r="DJ262" s="136"/>
      <c r="DL262" s="160">
        <v>-137</v>
      </c>
      <c r="DM262" s="160">
        <v>32</v>
      </c>
      <c r="DN262" s="161">
        <v>4542</v>
      </c>
      <c r="DO262" s="116">
        <v>2634</v>
      </c>
      <c r="DP262" s="160">
        <v>0</v>
      </c>
      <c r="DR262" s="161">
        <v>1908</v>
      </c>
      <c r="DS262" s="116">
        <v>2</v>
      </c>
      <c r="DT262" s="116">
        <v>-8</v>
      </c>
      <c r="DU262" s="116">
        <v>0</v>
      </c>
      <c r="DV262" s="116">
        <v>0</v>
      </c>
      <c r="DW262" s="160">
        <v>1902</v>
      </c>
      <c r="DX262" s="160">
        <v>6133</v>
      </c>
      <c r="DY262" s="116">
        <v>4539</v>
      </c>
      <c r="DZ262" s="150"/>
      <c r="EA262" s="117">
        <v>-819</v>
      </c>
      <c r="EB262" s="116">
        <v>-2113</v>
      </c>
      <c r="EC262" s="159">
        <v>1046</v>
      </c>
      <c r="EE262" s="125"/>
      <c r="EF262" s="161"/>
      <c r="EG262" s="124"/>
      <c r="EH262" s="253">
        <v>21.75</v>
      </c>
      <c r="EI262" s="130"/>
      <c r="EJ262" s="125">
        <v>20</v>
      </c>
      <c r="EK262" s="116"/>
      <c r="EL262" s="159"/>
      <c r="EN262" s="116"/>
      <c r="EO262" s="116"/>
      <c r="EP262" s="159"/>
      <c r="EQ262" s="159">
        <v>-2112</v>
      </c>
      <c r="ER262" s="116">
        <v>38</v>
      </c>
      <c r="ES262" s="116">
        <v>1615</v>
      </c>
      <c r="ET262" s="160">
        <v>-1671</v>
      </c>
      <c r="EU262" s="116">
        <v>29</v>
      </c>
      <c r="EV262" s="116">
        <v>13</v>
      </c>
      <c r="EW262" s="160">
        <v>-3645</v>
      </c>
      <c r="EX262" s="160">
        <v>25</v>
      </c>
      <c r="EY262" s="160">
        <v>127</v>
      </c>
      <c r="EZ262" s="116">
        <v>319</v>
      </c>
      <c r="FA262" s="116">
        <v>-683</v>
      </c>
      <c r="FB262" s="116">
        <v>975</v>
      </c>
      <c r="FC262" s="160">
        <v>1363</v>
      </c>
      <c r="FD262" s="116">
        <v>690</v>
      </c>
      <c r="FE262" s="116">
        <v>1452</v>
      </c>
      <c r="FF262" s="3">
        <v>28548</v>
      </c>
      <c r="FG262" s="3">
        <v>23610</v>
      </c>
      <c r="FH262" s="3">
        <v>4938</v>
      </c>
      <c r="FI262" s="3">
        <v>20</v>
      </c>
      <c r="FJ262" s="125">
        <v>28830</v>
      </c>
      <c r="FK262" s="160">
        <v>22391</v>
      </c>
      <c r="FL262" s="125">
        <v>6439</v>
      </c>
      <c r="FM262" s="116">
        <v>20</v>
      </c>
      <c r="FN262" s="125">
        <v>28861</v>
      </c>
      <c r="FO262" s="116">
        <v>20843</v>
      </c>
      <c r="FP262" s="116">
        <v>8018</v>
      </c>
      <c r="FQ262" s="116">
        <v>-819</v>
      </c>
      <c r="FR262" s="153">
        <v>628</v>
      </c>
      <c r="FS262" s="153">
        <v>1138</v>
      </c>
      <c r="FT262" s="276">
        <v>210</v>
      </c>
      <c r="FU262" s="3">
        <v>436</v>
      </c>
      <c r="FV262" s="159">
        <v>1270</v>
      </c>
      <c r="FW262" s="170"/>
      <c r="FZ262" s="155"/>
      <c r="GA262" s="2"/>
      <c r="GD262" s="163"/>
      <c r="GE262" s="2"/>
      <c r="GF262" s="2"/>
    </row>
    <row r="263" spans="1:188" ht="14.5" x14ac:dyDescent="0.35">
      <c r="A263" s="72">
        <v>850</v>
      </c>
      <c r="B263" s="70" t="s">
        <v>253</v>
      </c>
      <c r="C263" s="158">
        <v>2406</v>
      </c>
      <c r="D263" s="171"/>
      <c r="E263" s="128">
        <v>0.42558326629123089</v>
      </c>
      <c r="F263" s="128">
        <v>70.734304661406654</v>
      </c>
      <c r="G263" s="129">
        <v>-5044.8877805486281</v>
      </c>
      <c r="H263" s="216"/>
      <c r="I263" s="172"/>
      <c r="J263" s="218"/>
      <c r="K263" s="128">
        <v>33.983768681537981</v>
      </c>
      <c r="L263" s="129">
        <v>402.32751454696592</v>
      </c>
      <c r="M263" s="129">
        <v>14.586739327883743</v>
      </c>
      <c r="N263" s="129">
        <v>10067.331670822943</v>
      </c>
      <c r="O263" s="129"/>
      <c r="P263" s="117">
        <v>5972</v>
      </c>
      <c r="Q263" s="161">
        <v>20167</v>
      </c>
      <c r="R263" s="161">
        <v>0</v>
      </c>
      <c r="S263" s="161">
        <v>-14195</v>
      </c>
      <c r="T263" s="124">
        <v>7866</v>
      </c>
      <c r="U263" s="124">
        <v>6821</v>
      </c>
      <c r="V263" s="136"/>
      <c r="X263" s="116">
        <v>-67</v>
      </c>
      <c r="Y263" s="116">
        <v>37</v>
      </c>
      <c r="Z263" s="161">
        <v>462</v>
      </c>
      <c r="AA263" s="116">
        <v>1957</v>
      </c>
      <c r="AB263" s="116">
        <v>0</v>
      </c>
      <c r="AD263" s="161">
        <v>-1495</v>
      </c>
      <c r="AE263" s="117">
        <v>0</v>
      </c>
      <c r="AF263" s="117">
        <v>9</v>
      </c>
      <c r="AG263" s="116">
        <v>0</v>
      </c>
      <c r="AH263" s="116">
        <v>0</v>
      </c>
      <c r="AI263" s="160">
        <v>-1486</v>
      </c>
      <c r="AJ263" s="161">
        <v>1589</v>
      </c>
      <c r="AK263" s="161">
        <v>522</v>
      </c>
      <c r="AL263" s="150"/>
      <c r="AM263" s="161">
        <v>101</v>
      </c>
      <c r="AN263" s="161">
        <v>-1176</v>
      </c>
      <c r="AO263" s="160">
        <v>-2687</v>
      </c>
      <c r="AQ263" s="160"/>
      <c r="AR263" s="117"/>
      <c r="AS263" s="117"/>
      <c r="AT263" s="99">
        <v>21</v>
      </c>
      <c r="AU263" s="130"/>
      <c r="AV263" s="262">
        <v>251</v>
      </c>
      <c r="AW263" s="267">
        <v>2388</v>
      </c>
      <c r="AX263" s="124"/>
      <c r="AY263" s="255">
        <v>-3.3559127439724454</v>
      </c>
      <c r="AZ263" s="259">
        <v>76.029998557761644</v>
      </c>
      <c r="BA263" s="160">
        <v>-5681.3232830820771</v>
      </c>
      <c r="BB263" s="130"/>
      <c r="BC263" s="130"/>
      <c r="BD263" s="130"/>
      <c r="BE263" s="128">
        <v>14.827177302472661</v>
      </c>
      <c r="BF263" s="160">
        <v>552.34505862646563</v>
      </c>
      <c r="BG263" s="129">
        <v>13.479322447733862</v>
      </c>
      <c r="BH263" s="131">
        <v>10976.549413735343</v>
      </c>
      <c r="BI263" s="124"/>
      <c r="BJ263" s="117">
        <v>5720</v>
      </c>
      <c r="BK263" s="117">
        <v>23758</v>
      </c>
      <c r="BL263" s="161">
        <v>0</v>
      </c>
      <c r="BM263" s="161">
        <v>-18038</v>
      </c>
      <c r="BN263" s="117">
        <v>8276</v>
      </c>
      <c r="BO263" s="117">
        <v>6805</v>
      </c>
      <c r="BP263" s="136"/>
      <c r="BR263" s="160">
        <v>-56</v>
      </c>
      <c r="BS263" s="160">
        <v>34</v>
      </c>
      <c r="BT263" s="161">
        <v>-2979</v>
      </c>
      <c r="BU263" s="125">
        <v>1156</v>
      </c>
      <c r="BV263" s="160">
        <v>0</v>
      </c>
      <c r="BX263" s="161">
        <v>-4135</v>
      </c>
      <c r="BY263" s="161">
        <v>0</v>
      </c>
      <c r="BZ263" s="160">
        <v>0</v>
      </c>
      <c r="CA263" s="160">
        <v>0</v>
      </c>
      <c r="CB263" s="160">
        <v>0</v>
      </c>
      <c r="CC263" s="160">
        <v>-4135</v>
      </c>
      <c r="CD263" s="160">
        <v>-2568</v>
      </c>
      <c r="CE263" s="116">
        <v>296</v>
      </c>
      <c r="CF263" s="150"/>
      <c r="CG263" s="161">
        <v>-191</v>
      </c>
      <c r="CH263" s="160">
        <v>-815</v>
      </c>
      <c r="CI263" s="159">
        <v>-1573</v>
      </c>
      <c r="CK263" s="124"/>
      <c r="CL263" s="161"/>
      <c r="CM263" s="124"/>
      <c r="CN263" s="265">
        <v>21</v>
      </c>
      <c r="CO263" s="130"/>
      <c r="CP263" s="116">
        <v>292</v>
      </c>
      <c r="CQ263" s="267">
        <v>2401</v>
      </c>
      <c r="CR263" s="124"/>
      <c r="CS263" s="268">
        <v>2.8893805309734515</v>
      </c>
      <c r="CT263" s="269">
        <v>89.208125853787507</v>
      </c>
      <c r="CU263" s="160">
        <v>-6873.3860891295299</v>
      </c>
      <c r="CV263" s="130"/>
      <c r="CW263" s="130"/>
      <c r="CX263" s="130"/>
      <c r="CY263" s="269">
        <v>19.06640887029949</v>
      </c>
      <c r="CZ263" s="125">
        <v>922.11578508954608</v>
      </c>
      <c r="DA263" s="125">
        <v>35.590152382630144</v>
      </c>
      <c r="DB263" s="273">
        <v>9456.8929612661377</v>
      </c>
      <c r="DC263" s="124"/>
      <c r="DD263" s="117">
        <v>6392</v>
      </c>
      <c r="DE263" s="117">
        <v>20139</v>
      </c>
      <c r="DF263" s="117">
        <v>0</v>
      </c>
      <c r="DG263" s="117">
        <v>-13747</v>
      </c>
      <c r="DH263" s="117">
        <v>8397</v>
      </c>
      <c r="DI263" s="117">
        <v>7904</v>
      </c>
      <c r="DJ263" s="136"/>
      <c r="DL263" s="160">
        <v>-61</v>
      </c>
      <c r="DM263" s="160">
        <v>58</v>
      </c>
      <c r="DN263" s="161">
        <v>2551</v>
      </c>
      <c r="DO263" s="116">
        <v>1121</v>
      </c>
      <c r="DP263" s="160">
        <v>0</v>
      </c>
      <c r="DR263" s="161">
        <v>1430</v>
      </c>
      <c r="DS263" s="117">
        <v>0</v>
      </c>
      <c r="DT263" s="116">
        <v>11</v>
      </c>
      <c r="DU263" s="116">
        <v>0</v>
      </c>
      <c r="DV263" s="116">
        <v>0</v>
      </c>
      <c r="DW263" s="160">
        <v>1441</v>
      </c>
      <c r="DX263" s="160">
        <v>-1126</v>
      </c>
      <c r="DY263" s="116">
        <v>-841</v>
      </c>
      <c r="DZ263" s="150"/>
      <c r="EA263" s="117">
        <v>-818</v>
      </c>
      <c r="EB263" s="116">
        <v>-843</v>
      </c>
      <c r="EC263" s="159">
        <v>-2906</v>
      </c>
      <c r="EE263" s="125"/>
      <c r="EF263" s="161"/>
      <c r="EG263" s="124"/>
      <c r="EH263" s="253">
        <v>21</v>
      </c>
      <c r="EI263" s="130"/>
      <c r="EJ263" s="125">
        <v>111</v>
      </c>
      <c r="EK263" s="116"/>
      <c r="EL263" s="159"/>
      <c r="EN263" s="116"/>
      <c r="EO263" s="116"/>
      <c r="EP263" s="159"/>
      <c r="EQ263" s="159">
        <v>-3245</v>
      </c>
      <c r="ER263" s="116">
        <v>1</v>
      </c>
      <c r="ES263" s="116">
        <v>35</v>
      </c>
      <c r="ET263" s="160">
        <v>-1900</v>
      </c>
      <c r="EU263" s="116">
        <v>10</v>
      </c>
      <c r="EV263" s="116">
        <v>21</v>
      </c>
      <c r="EW263" s="160">
        <v>-2324</v>
      </c>
      <c r="EX263" s="160">
        <v>58</v>
      </c>
      <c r="EY263" s="160">
        <v>201</v>
      </c>
      <c r="EZ263" s="116">
        <v>1467</v>
      </c>
      <c r="FA263" s="116">
        <v>295</v>
      </c>
      <c r="FB263" s="116">
        <v>1461</v>
      </c>
      <c r="FC263" s="160">
        <v>1056</v>
      </c>
      <c r="FD263" s="116">
        <v>4159</v>
      </c>
      <c r="FE263" s="116">
        <v>468</v>
      </c>
      <c r="FF263" s="3">
        <v>10754</v>
      </c>
      <c r="FG263" s="3">
        <v>9669</v>
      </c>
      <c r="FH263" s="3">
        <v>1085</v>
      </c>
      <c r="FI263" s="3">
        <v>0</v>
      </c>
      <c r="FJ263" s="125">
        <v>12895</v>
      </c>
      <c r="FK263" s="160">
        <v>10820</v>
      </c>
      <c r="FL263" s="125">
        <v>2075</v>
      </c>
      <c r="FM263" s="116">
        <v>0</v>
      </c>
      <c r="FN263" s="125">
        <v>17382</v>
      </c>
      <c r="FO263" s="116">
        <v>14463</v>
      </c>
      <c r="FP263" s="116">
        <v>2919</v>
      </c>
      <c r="FQ263" s="116">
        <v>-818</v>
      </c>
      <c r="FR263" s="153">
        <v>3443</v>
      </c>
      <c r="FS263" s="153">
        <v>3332</v>
      </c>
      <c r="FT263" s="276">
        <v>2</v>
      </c>
      <c r="FU263" s="3">
        <v>1485</v>
      </c>
      <c r="FV263" s="159">
        <v>1405</v>
      </c>
      <c r="FW263" s="170"/>
      <c r="FZ263" s="155"/>
      <c r="GA263" s="2"/>
      <c r="GD263" s="163"/>
      <c r="GE263" s="2"/>
      <c r="GF263" s="2"/>
    </row>
    <row r="264" spans="1:188" ht="14.5" x14ac:dyDescent="0.35">
      <c r="A264" s="72">
        <v>851</v>
      </c>
      <c r="B264" s="70" t="s">
        <v>254</v>
      </c>
      <c r="C264" s="158">
        <v>21875</v>
      </c>
      <c r="D264" s="171"/>
      <c r="E264" s="128">
        <v>1.151470588235294</v>
      </c>
      <c r="F264" s="128">
        <v>68.965102344317756</v>
      </c>
      <c r="G264" s="129">
        <v>-5071.4514285714286</v>
      </c>
      <c r="H264" s="216"/>
      <c r="I264" s="172"/>
      <c r="J264" s="218"/>
      <c r="K264" s="128">
        <v>36.601704466309563</v>
      </c>
      <c r="L264" s="129">
        <v>691.61142857142852</v>
      </c>
      <c r="M264" s="129">
        <v>24.73830749932802</v>
      </c>
      <c r="N264" s="129">
        <v>10204.342857142858</v>
      </c>
      <c r="O264" s="129"/>
      <c r="P264" s="117">
        <v>72984</v>
      </c>
      <c r="Q264" s="161">
        <v>193383</v>
      </c>
      <c r="R264" s="161">
        <v>98</v>
      </c>
      <c r="S264" s="161">
        <v>-120301</v>
      </c>
      <c r="T264" s="124">
        <v>83253</v>
      </c>
      <c r="U264" s="124">
        <v>51542</v>
      </c>
      <c r="V264" s="136"/>
      <c r="X264" s="116">
        <v>-1227</v>
      </c>
      <c r="Y264" s="116">
        <v>347</v>
      </c>
      <c r="Z264" s="161">
        <v>13614</v>
      </c>
      <c r="AA264" s="116">
        <v>13127</v>
      </c>
      <c r="AB264" s="116">
        <v>151</v>
      </c>
      <c r="AD264" s="161">
        <v>638</v>
      </c>
      <c r="AE264" s="117">
        <v>52</v>
      </c>
      <c r="AF264" s="117">
        <v>92</v>
      </c>
      <c r="AG264" s="116">
        <v>-245</v>
      </c>
      <c r="AH264" s="116">
        <v>-51</v>
      </c>
      <c r="AI264" s="160">
        <v>486</v>
      </c>
      <c r="AJ264" s="161">
        <v>44035</v>
      </c>
      <c r="AK264" s="161">
        <v>13915</v>
      </c>
      <c r="AL264" s="150"/>
      <c r="AM264" s="161">
        <v>-1798</v>
      </c>
      <c r="AN264" s="161">
        <v>-11657</v>
      </c>
      <c r="AO264" s="160">
        <v>-1683</v>
      </c>
      <c r="AQ264" s="160"/>
      <c r="AR264" s="117"/>
      <c r="AS264" s="117"/>
      <c r="AT264" s="99">
        <v>21</v>
      </c>
      <c r="AU264" s="130"/>
      <c r="AV264" s="262">
        <v>101</v>
      </c>
      <c r="AW264" s="267">
        <v>21602</v>
      </c>
      <c r="AX264" s="124"/>
      <c r="AY264" s="255">
        <v>0.69416179548242762</v>
      </c>
      <c r="AZ264" s="259">
        <v>69.93221548341063</v>
      </c>
      <c r="BA264" s="160">
        <v>-5268.4473659846308</v>
      </c>
      <c r="BB264" s="130"/>
      <c r="BC264" s="130"/>
      <c r="BD264" s="130"/>
      <c r="BE264" s="128">
        <v>34.576850642189385</v>
      </c>
      <c r="BF264" s="160">
        <v>711.64706971576709</v>
      </c>
      <c r="BG264" s="129">
        <v>24.336014278788944</v>
      </c>
      <c r="BH264" s="131">
        <v>10504.119988889917</v>
      </c>
      <c r="BI264" s="124"/>
      <c r="BJ264" s="117">
        <v>74755</v>
      </c>
      <c r="BK264" s="117">
        <v>201071</v>
      </c>
      <c r="BL264" s="161">
        <v>58</v>
      </c>
      <c r="BM264" s="161">
        <v>-126258</v>
      </c>
      <c r="BN264" s="117">
        <v>83613</v>
      </c>
      <c r="BO264" s="117">
        <v>51857</v>
      </c>
      <c r="BP264" s="136"/>
      <c r="BR264" s="160">
        <v>-903</v>
      </c>
      <c r="BS264" s="160">
        <v>397</v>
      </c>
      <c r="BT264" s="161">
        <v>8706</v>
      </c>
      <c r="BU264" s="125">
        <v>12479</v>
      </c>
      <c r="BV264" s="160">
        <v>-919</v>
      </c>
      <c r="BX264" s="161">
        <v>-4692</v>
      </c>
      <c r="BY264" s="161">
        <v>1</v>
      </c>
      <c r="BZ264" s="160">
        <v>231</v>
      </c>
      <c r="CA264" s="160">
        <v>208</v>
      </c>
      <c r="CB264" s="160">
        <v>10</v>
      </c>
      <c r="CC264" s="160">
        <v>-4658</v>
      </c>
      <c r="CD264" s="160">
        <v>38443</v>
      </c>
      <c r="CE264" s="116">
        <v>7706</v>
      </c>
      <c r="CF264" s="150"/>
      <c r="CG264" s="161">
        <v>-1322</v>
      </c>
      <c r="CH264" s="160">
        <v>-12944</v>
      </c>
      <c r="CI264" s="159">
        <v>-3423</v>
      </c>
      <c r="CK264" s="124"/>
      <c r="CL264" s="161"/>
      <c r="CM264" s="124"/>
      <c r="CN264" s="265">
        <v>21</v>
      </c>
      <c r="CO264" s="130"/>
      <c r="CP264" s="116">
        <v>160</v>
      </c>
      <c r="CQ264" s="267">
        <v>21467</v>
      </c>
      <c r="CR264" s="124"/>
      <c r="CS264" s="268">
        <v>2.0975736568457539</v>
      </c>
      <c r="CT264" s="269">
        <v>64.22778194706909</v>
      </c>
      <c r="CU264" s="160">
        <v>-4884.4272604462658</v>
      </c>
      <c r="CV264" s="130"/>
      <c r="CW264" s="130"/>
      <c r="CX264" s="130"/>
      <c r="CY264" s="269">
        <v>38.409966457440802</v>
      </c>
      <c r="CZ264" s="125">
        <v>999.5341687240882</v>
      </c>
      <c r="DA264" s="125">
        <v>35.359153562415067</v>
      </c>
      <c r="DB264" s="273">
        <v>10317.836679554664</v>
      </c>
      <c r="DC264" s="124"/>
      <c r="DD264" s="117">
        <v>72749</v>
      </c>
      <c r="DE264" s="117">
        <v>198682</v>
      </c>
      <c r="DF264" s="117">
        <v>102</v>
      </c>
      <c r="DG264" s="117">
        <v>-125831</v>
      </c>
      <c r="DH264" s="117">
        <v>85896</v>
      </c>
      <c r="DI264" s="117">
        <v>62549</v>
      </c>
      <c r="DJ264" s="136"/>
      <c r="DL264" s="160">
        <v>-791</v>
      </c>
      <c r="DM264" s="160">
        <v>1569</v>
      </c>
      <c r="DN264" s="161">
        <v>23392</v>
      </c>
      <c r="DO264" s="116">
        <v>12587</v>
      </c>
      <c r="DP264" s="160">
        <v>-16</v>
      </c>
      <c r="DR264" s="161">
        <v>10789</v>
      </c>
      <c r="DS264" s="117">
        <v>-119</v>
      </c>
      <c r="DT264" s="116">
        <v>86</v>
      </c>
      <c r="DU264" s="116">
        <v>181</v>
      </c>
      <c r="DV264" s="116">
        <v>-13</v>
      </c>
      <c r="DW264" s="160">
        <v>10562</v>
      </c>
      <c r="DX264" s="160">
        <v>49011</v>
      </c>
      <c r="DY264" s="116">
        <v>21962</v>
      </c>
      <c r="DZ264" s="150"/>
      <c r="EA264" s="117">
        <v>-3437</v>
      </c>
      <c r="EB264" s="116">
        <v>-10726</v>
      </c>
      <c r="EC264" s="159">
        <v>11629</v>
      </c>
      <c r="EE264" s="125"/>
      <c r="EF264" s="161"/>
      <c r="EG264" s="124"/>
      <c r="EH264" s="253">
        <v>21</v>
      </c>
      <c r="EI264" s="130"/>
      <c r="EJ264" s="125">
        <v>105</v>
      </c>
      <c r="EK264" s="116"/>
      <c r="EL264" s="159"/>
      <c r="EN264" s="116"/>
      <c r="EO264" s="116"/>
      <c r="EP264" s="159"/>
      <c r="EQ264" s="159">
        <v>-16930</v>
      </c>
      <c r="ER264" s="116">
        <v>976</v>
      </c>
      <c r="ES264" s="116">
        <v>356</v>
      </c>
      <c r="ET264" s="160">
        <v>-11963</v>
      </c>
      <c r="EU264" s="116">
        <v>281</v>
      </c>
      <c r="EV264" s="116">
        <v>553</v>
      </c>
      <c r="EW264" s="160">
        <v>-10961</v>
      </c>
      <c r="EX264" s="160">
        <v>317</v>
      </c>
      <c r="EY264" s="160">
        <v>311</v>
      </c>
      <c r="EZ264" s="116">
        <v>13120</v>
      </c>
      <c r="FA264" s="116">
        <v>6074</v>
      </c>
      <c r="FB264" s="116">
        <v>10924</v>
      </c>
      <c r="FC264" s="160">
        <v>4846</v>
      </c>
      <c r="FD264" s="116">
        <v>16081</v>
      </c>
      <c r="FE264" s="116">
        <v>-7408</v>
      </c>
      <c r="FF264" s="3">
        <v>109191</v>
      </c>
      <c r="FG264" s="3">
        <v>75314</v>
      </c>
      <c r="FH264" s="3">
        <v>33877</v>
      </c>
      <c r="FI264" s="3">
        <v>0</v>
      </c>
      <c r="FJ264" s="125">
        <v>112296</v>
      </c>
      <c r="FK264" s="160">
        <v>72904</v>
      </c>
      <c r="FL264" s="125">
        <v>39392</v>
      </c>
      <c r="FM264" s="116">
        <v>0</v>
      </c>
      <c r="FN264" s="125">
        <v>107540</v>
      </c>
      <c r="FO264" s="116">
        <v>76142</v>
      </c>
      <c r="FP264" s="116">
        <v>31398</v>
      </c>
      <c r="FQ264" s="116">
        <v>-3437</v>
      </c>
      <c r="FR264" s="153">
        <v>2928</v>
      </c>
      <c r="FS264" s="153">
        <v>2918</v>
      </c>
      <c r="FT264" s="276">
        <v>2280</v>
      </c>
      <c r="FU264" s="3">
        <v>3890</v>
      </c>
      <c r="FV264" s="159">
        <v>4033</v>
      </c>
      <c r="FW264" s="170"/>
      <c r="FZ264" s="155"/>
      <c r="GA264" s="2"/>
      <c r="GD264" s="163"/>
      <c r="GE264" s="2"/>
      <c r="GF264" s="2"/>
    </row>
    <row r="265" spans="1:188" ht="14.5" x14ac:dyDescent="0.35">
      <c r="A265" s="72">
        <v>853</v>
      </c>
      <c r="B265" s="70" t="s">
        <v>255</v>
      </c>
      <c r="C265" s="158">
        <v>191331</v>
      </c>
      <c r="D265" s="171"/>
      <c r="E265" s="128">
        <v>1.0101579969400964</v>
      </c>
      <c r="F265" s="128">
        <v>95.820851946798385</v>
      </c>
      <c r="G265" s="129">
        <v>-7800.3041848942412</v>
      </c>
      <c r="H265" s="216"/>
      <c r="I265" s="172"/>
      <c r="J265" s="218"/>
      <c r="K265" s="128">
        <v>33.16202953571495</v>
      </c>
      <c r="L265" s="129">
        <v>1475.8925631497248</v>
      </c>
      <c r="M265" s="129">
        <v>45.01269542082678</v>
      </c>
      <c r="N265" s="129">
        <v>11967.752219974807</v>
      </c>
      <c r="O265" s="129"/>
      <c r="P265" s="117">
        <v>951668</v>
      </c>
      <c r="Q265" s="161">
        <v>1889997</v>
      </c>
      <c r="R265" s="161">
        <v>7869</v>
      </c>
      <c r="S265" s="161">
        <v>-930460</v>
      </c>
      <c r="T265" s="124">
        <v>749749</v>
      </c>
      <c r="U265" s="124">
        <v>312582</v>
      </c>
      <c r="V265" s="136"/>
      <c r="X265" s="116">
        <v>-11751</v>
      </c>
      <c r="Y265" s="116">
        <v>-2311</v>
      </c>
      <c r="Z265" s="161">
        <v>117809</v>
      </c>
      <c r="AA265" s="116">
        <v>140700</v>
      </c>
      <c r="AB265" s="117">
        <v>0</v>
      </c>
      <c r="AD265" s="161">
        <v>-22891</v>
      </c>
      <c r="AE265" s="117">
        <v>-2178</v>
      </c>
      <c r="AF265" s="117">
        <v>-1712</v>
      </c>
      <c r="AG265" s="116">
        <v>-3805</v>
      </c>
      <c r="AH265" s="116">
        <v>-3079</v>
      </c>
      <c r="AI265" s="160">
        <v>-33665</v>
      </c>
      <c r="AJ265" s="161">
        <v>316946</v>
      </c>
      <c r="AK265" s="161">
        <v>127055</v>
      </c>
      <c r="AL265" s="150"/>
      <c r="AM265" s="161">
        <v>-13760</v>
      </c>
      <c r="AN265" s="161">
        <v>-116428</v>
      </c>
      <c r="AO265" s="160">
        <v>-89647</v>
      </c>
      <c r="AQ265" s="160"/>
      <c r="AR265" s="117"/>
      <c r="AS265" s="117"/>
      <c r="AT265" s="99">
        <v>19.5</v>
      </c>
      <c r="AU265" s="130"/>
      <c r="AV265" s="262">
        <v>105</v>
      </c>
      <c r="AW265" s="267">
        <v>192962</v>
      </c>
      <c r="AX265" s="124"/>
      <c r="AY265" s="255">
        <v>1.0217306999806099</v>
      </c>
      <c r="AZ265" s="259">
        <v>90.430830660262501</v>
      </c>
      <c r="BA265" s="160">
        <v>-7248.7588229806906</v>
      </c>
      <c r="BB265" s="130"/>
      <c r="BC265" s="130"/>
      <c r="BD265" s="130"/>
      <c r="BE265" s="128">
        <v>37.069343200716041</v>
      </c>
      <c r="BF265" s="160">
        <v>1724.4016956706503</v>
      </c>
      <c r="BG265" s="129">
        <v>43.340078009496366</v>
      </c>
      <c r="BH265" s="131">
        <v>12324.561312590044</v>
      </c>
      <c r="BI265" s="124"/>
      <c r="BJ265" s="117">
        <v>985337</v>
      </c>
      <c r="BK265" s="117">
        <v>1952387</v>
      </c>
      <c r="BL265" s="161">
        <v>7978</v>
      </c>
      <c r="BM265" s="161">
        <v>-959072</v>
      </c>
      <c r="BN265" s="117">
        <v>780377</v>
      </c>
      <c r="BO265" s="117">
        <v>316473</v>
      </c>
      <c r="BP265" s="136"/>
      <c r="BR265" s="160">
        <v>-13688</v>
      </c>
      <c r="BS265" s="160">
        <v>4587</v>
      </c>
      <c r="BT265" s="161">
        <v>128677</v>
      </c>
      <c r="BU265" s="125">
        <v>145908</v>
      </c>
      <c r="BV265" s="161">
        <v>76296</v>
      </c>
      <c r="BW265" s="117"/>
      <c r="BX265" s="161">
        <v>59065</v>
      </c>
      <c r="BY265" s="161">
        <v>376</v>
      </c>
      <c r="BZ265" s="160">
        <v>-1935</v>
      </c>
      <c r="CA265" s="160">
        <v>3878</v>
      </c>
      <c r="CB265" s="160">
        <v>-3043</v>
      </c>
      <c r="CC265" s="160">
        <v>50585</v>
      </c>
      <c r="CD265" s="160">
        <v>367531</v>
      </c>
      <c r="CE265" s="116">
        <v>106557</v>
      </c>
      <c r="CF265" s="150"/>
      <c r="CG265" s="160">
        <v>-2714</v>
      </c>
      <c r="CH265" s="160">
        <v>-125539</v>
      </c>
      <c r="CI265" s="159">
        <v>-101193</v>
      </c>
      <c r="CK265" s="124"/>
      <c r="CL265" s="161"/>
      <c r="CM265" s="124"/>
      <c r="CN265" s="265">
        <v>19.5</v>
      </c>
      <c r="CO265" s="130"/>
      <c r="CP265" s="116">
        <v>67</v>
      </c>
      <c r="CQ265" s="267">
        <v>194391</v>
      </c>
      <c r="CR265" s="124"/>
      <c r="CS265" s="268">
        <v>1.1497532579143943</v>
      </c>
      <c r="CT265" s="269">
        <v>86.845449145148422</v>
      </c>
      <c r="CU265" s="160">
        <v>-7475.7319011682639</v>
      </c>
      <c r="CV265" s="130"/>
      <c r="CW265" s="130"/>
      <c r="CX265" s="130"/>
      <c r="CY265" s="269">
        <v>37.97823419883769</v>
      </c>
      <c r="CZ265" s="125">
        <v>1336.7697064164493</v>
      </c>
      <c r="DA265" s="125">
        <v>39.432718939607483</v>
      </c>
      <c r="DB265" s="273">
        <v>12373.504946216644</v>
      </c>
      <c r="DC265" s="124"/>
      <c r="DD265" s="117">
        <v>944424</v>
      </c>
      <c r="DE265" s="117">
        <v>1963595</v>
      </c>
      <c r="DF265" s="117">
        <v>16291</v>
      </c>
      <c r="DG265" s="117">
        <v>-1002880</v>
      </c>
      <c r="DH265" s="117">
        <v>812087</v>
      </c>
      <c r="DI265" s="117">
        <v>398249</v>
      </c>
      <c r="DJ265" s="136"/>
      <c r="DL265" s="160">
        <v>-16436</v>
      </c>
      <c r="DM265" s="160">
        <v>2174</v>
      </c>
      <c r="DN265" s="161">
        <v>193194</v>
      </c>
      <c r="DO265" s="116">
        <v>148427</v>
      </c>
      <c r="DP265" s="161">
        <v>0</v>
      </c>
      <c r="DQ265" s="117"/>
      <c r="DR265" s="161">
        <v>44767</v>
      </c>
      <c r="DS265" s="117">
        <v>-2309</v>
      </c>
      <c r="DT265" s="116">
        <v>0</v>
      </c>
      <c r="DU265" s="116">
        <v>4390</v>
      </c>
      <c r="DV265" s="116">
        <v>-2086</v>
      </c>
      <c r="DW265" s="160">
        <v>35982</v>
      </c>
      <c r="DX265" s="160">
        <v>403512</v>
      </c>
      <c r="DY265" s="116">
        <v>162775</v>
      </c>
      <c r="DZ265" s="150"/>
      <c r="EA265" s="116">
        <v>-7904</v>
      </c>
      <c r="EB265" s="116">
        <v>-165488</v>
      </c>
      <c r="EC265" s="159">
        <v>-46580</v>
      </c>
      <c r="EE265" s="125"/>
      <c r="EF265" s="161"/>
      <c r="EG265" s="124"/>
      <c r="EH265" s="253">
        <v>19.5</v>
      </c>
      <c r="EI265" s="130"/>
      <c r="EJ265" s="125">
        <v>134</v>
      </c>
      <c r="EK265" s="116"/>
      <c r="EL265" s="159"/>
      <c r="EN265" s="116"/>
      <c r="EO265" s="116"/>
      <c r="EP265" s="159"/>
      <c r="EQ265" s="159">
        <v>-251081</v>
      </c>
      <c r="ER265" s="116">
        <v>3797</v>
      </c>
      <c r="ES265" s="116">
        <v>30582</v>
      </c>
      <c r="ET265" s="160">
        <v>-278522</v>
      </c>
      <c r="EU265" s="116">
        <v>4376</v>
      </c>
      <c r="EV265" s="116">
        <v>66396</v>
      </c>
      <c r="EW265" s="160">
        <v>-244928</v>
      </c>
      <c r="EX265" s="160">
        <v>4486</v>
      </c>
      <c r="EY265" s="160">
        <v>31087</v>
      </c>
      <c r="EZ265" s="116">
        <v>251446</v>
      </c>
      <c r="FA265" s="116">
        <v>-25468</v>
      </c>
      <c r="FB265" s="116">
        <v>176536</v>
      </c>
      <c r="FC265" s="160">
        <v>31982</v>
      </c>
      <c r="FD265" s="116">
        <v>176532</v>
      </c>
      <c r="FE265" s="116">
        <v>-30703</v>
      </c>
      <c r="FF265" s="3">
        <v>1496700</v>
      </c>
      <c r="FG265" s="3">
        <v>1312539</v>
      </c>
      <c r="FH265" s="3">
        <v>184161</v>
      </c>
      <c r="FI265" s="3">
        <v>94329</v>
      </c>
      <c r="FJ265" s="125">
        <v>1456830</v>
      </c>
      <c r="FK265" s="160">
        <v>1211644</v>
      </c>
      <c r="FL265" s="125">
        <v>245186</v>
      </c>
      <c r="FM265" s="116">
        <v>23409</v>
      </c>
      <c r="FN265" s="125">
        <v>1437090</v>
      </c>
      <c r="FO265" s="116">
        <v>1280987</v>
      </c>
      <c r="FP265" s="116">
        <v>156103</v>
      </c>
      <c r="FQ265" s="116">
        <v>-7904</v>
      </c>
      <c r="FR265" s="153">
        <v>7109</v>
      </c>
      <c r="FS265" s="153">
        <v>6659</v>
      </c>
      <c r="FT265" s="276">
        <v>6289</v>
      </c>
      <c r="FU265" s="3">
        <v>524762</v>
      </c>
      <c r="FV265" s="159">
        <v>580607</v>
      </c>
      <c r="FW265" s="170"/>
      <c r="FZ265" s="155"/>
      <c r="GA265" s="2"/>
      <c r="GD265" s="163"/>
      <c r="GE265" s="2"/>
      <c r="GF265" s="2"/>
    </row>
    <row r="266" spans="1:188" ht="14.5" x14ac:dyDescent="0.35">
      <c r="A266" s="72">
        <v>857</v>
      </c>
      <c r="B266" s="70" t="s">
        <v>257</v>
      </c>
      <c r="C266" s="158">
        <v>2551</v>
      </c>
      <c r="D266" s="171"/>
      <c r="E266" s="128">
        <v>0.37130801687763715</v>
      </c>
      <c r="F266" s="128">
        <v>40.416749883496436</v>
      </c>
      <c r="G266" s="129">
        <v>-2931.3994511956098</v>
      </c>
      <c r="H266" s="216"/>
      <c r="I266" s="172"/>
      <c r="J266" s="218"/>
      <c r="K266" s="128">
        <v>55.057152753723585</v>
      </c>
      <c r="L266" s="129">
        <v>1060.3684829478636</v>
      </c>
      <c r="M266" s="129">
        <v>30.470172514890599</v>
      </c>
      <c r="N266" s="129">
        <v>12702.077616620933</v>
      </c>
      <c r="O266" s="129"/>
      <c r="P266" s="117">
        <v>12042</v>
      </c>
      <c r="Q266" s="161">
        <v>29958</v>
      </c>
      <c r="R266" s="161">
        <v>71</v>
      </c>
      <c r="S266" s="161">
        <v>-17845</v>
      </c>
      <c r="T266" s="124">
        <v>7801</v>
      </c>
      <c r="U266" s="124">
        <v>10199</v>
      </c>
      <c r="V266" s="136"/>
      <c r="X266" s="116">
        <v>-102</v>
      </c>
      <c r="Y266" s="116">
        <v>185</v>
      </c>
      <c r="Z266" s="161">
        <v>238</v>
      </c>
      <c r="AA266" s="116">
        <v>1744</v>
      </c>
      <c r="AB266" s="116">
        <v>16</v>
      </c>
      <c r="AD266" s="161">
        <v>-1490</v>
      </c>
      <c r="AE266" s="117">
        <v>5</v>
      </c>
      <c r="AF266" s="117">
        <v>40</v>
      </c>
      <c r="AG266" s="116">
        <v>-1</v>
      </c>
      <c r="AH266" s="117">
        <v>-1</v>
      </c>
      <c r="AI266" s="160">
        <v>-1447</v>
      </c>
      <c r="AJ266" s="161">
        <v>4210</v>
      </c>
      <c r="AK266" s="161">
        <v>112</v>
      </c>
      <c r="AL266" s="150"/>
      <c r="AM266" s="161">
        <v>-360</v>
      </c>
      <c r="AN266" s="161">
        <v>-834</v>
      </c>
      <c r="AO266" s="160">
        <v>-1026</v>
      </c>
      <c r="AQ266" s="160"/>
      <c r="AR266" s="117"/>
      <c r="AS266" s="117"/>
      <c r="AT266" s="99">
        <v>22</v>
      </c>
      <c r="AU266" s="130"/>
      <c r="AV266" s="262">
        <v>275</v>
      </c>
      <c r="AW266" s="267">
        <v>2477</v>
      </c>
      <c r="AX266" s="124"/>
      <c r="AY266" s="255">
        <v>0.56934306569343063</v>
      </c>
      <c r="AZ266" s="259">
        <v>38.915371555439464</v>
      </c>
      <c r="BA266" s="160">
        <v>-3513.5244247073074</v>
      </c>
      <c r="BB266" s="130"/>
      <c r="BC266" s="130"/>
      <c r="BD266" s="130"/>
      <c r="BE266" s="128">
        <v>53.61454652532391</v>
      </c>
      <c r="BF266" s="160">
        <v>718.61122325393626</v>
      </c>
      <c r="BG266" s="129">
        <v>29.561513817778977</v>
      </c>
      <c r="BH266" s="131">
        <v>13483.649576100121</v>
      </c>
      <c r="BI266" s="124"/>
      <c r="BJ266" s="117">
        <v>12176</v>
      </c>
      <c r="BK266" s="117">
        <v>30328</v>
      </c>
      <c r="BL266" s="161">
        <v>46</v>
      </c>
      <c r="BM266" s="161">
        <v>-18106</v>
      </c>
      <c r="BN266" s="117">
        <v>8303</v>
      </c>
      <c r="BO266" s="117">
        <v>10149</v>
      </c>
      <c r="BP266" s="136"/>
      <c r="BR266" s="160">
        <v>-90</v>
      </c>
      <c r="BS266" s="160">
        <v>190</v>
      </c>
      <c r="BT266" s="161">
        <v>446</v>
      </c>
      <c r="BU266" s="125">
        <v>1698</v>
      </c>
      <c r="BV266" s="160">
        <v>0</v>
      </c>
      <c r="BX266" s="161">
        <v>-1252</v>
      </c>
      <c r="BY266" s="161">
        <v>0</v>
      </c>
      <c r="BZ266" s="161">
        <v>40</v>
      </c>
      <c r="CA266" s="161">
        <v>4</v>
      </c>
      <c r="CB266" s="161">
        <v>-3</v>
      </c>
      <c r="CC266" s="160">
        <v>-1219</v>
      </c>
      <c r="CD266" s="160">
        <v>2855</v>
      </c>
      <c r="CE266" s="116">
        <v>342</v>
      </c>
      <c r="CF266" s="150"/>
      <c r="CG266" s="161">
        <v>523</v>
      </c>
      <c r="CH266" s="160">
        <v>-859</v>
      </c>
      <c r="CI266" s="159">
        <v>-1510</v>
      </c>
      <c r="CK266" s="124"/>
      <c r="CL266" s="161"/>
      <c r="CM266" s="124"/>
      <c r="CN266" s="265">
        <v>22</v>
      </c>
      <c r="CO266" s="130"/>
      <c r="CP266" s="116">
        <v>243</v>
      </c>
      <c r="CQ266" s="267">
        <v>2433</v>
      </c>
      <c r="CR266" s="124"/>
      <c r="CS266" s="268">
        <v>1.7237113402061857</v>
      </c>
      <c r="CT266" s="269">
        <v>40.842311459353574</v>
      </c>
      <c r="CU266" s="160">
        <v>-3593.0949445129472</v>
      </c>
      <c r="CV266" s="130"/>
      <c r="CW266" s="130"/>
      <c r="CX266" s="130"/>
      <c r="CY266" s="269">
        <v>50.16581992661586</v>
      </c>
      <c r="CZ266" s="125">
        <v>1288.5326757090013</v>
      </c>
      <c r="DA266" s="125">
        <v>33.425103698077933</v>
      </c>
      <c r="DB266" s="273">
        <v>14070.694615700781</v>
      </c>
      <c r="DC266" s="124"/>
      <c r="DD266" s="117">
        <v>12954</v>
      </c>
      <c r="DE266" s="117">
        <v>31255</v>
      </c>
      <c r="DF266" s="117">
        <v>61</v>
      </c>
      <c r="DG266" s="117">
        <v>-18240</v>
      </c>
      <c r="DH266" s="117">
        <v>8316</v>
      </c>
      <c r="DI266" s="117">
        <v>11402</v>
      </c>
      <c r="DJ266" s="136"/>
      <c r="DL266" s="160">
        <v>-83</v>
      </c>
      <c r="DM266" s="160">
        <v>187</v>
      </c>
      <c r="DN266" s="161">
        <v>1582</v>
      </c>
      <c r="DO266" s="116">
        <v>1845</v>
      </c>
      <c r="DP266" s="160">
        <v>10</v>
      </c>
      <c r="DR266" s="161">
        <v>-253</v>
      </c>
      <c r="DS266" s="117">
        <v>7</v>
      </c>
      <c r="DT266" s="117">
        <v>42</v>
      </c>
      <c r="DU266" s="117">
        <v>3</v>
      </c>
      <c r="DV266" s="117">
        <v>-2</v>
      </c>
      <c r="DW266" s="160">
        <v>-209</v>
      </c>
      <c r="DX266" s="160">
        <v>2573</v>
      </c>
      <c r="DY266" s="116">
        <v>1592</v>
      </c>
      <c r="DZ266" s="150"/>
      <c r="EA266" s="117">
        <v>-32</v>
      </c>
      <c r="EB266" s="116">
        <v>-880</v>
      </c>
      <c r="EC266" s="159">
        <v>-125</v>
      </c>
      <c r="EE266" s="125"/>
      <c r="EF266" s="161"/>
      <c r="EG266" s="124"/>
      <c r="EH266" s="253">
        <v>22</v>
      </c>
      <c r="EI266" s="130"/>
      <c r="EJ266" s="125">
        <v>264</v>
      </c>
      <c r="EK266" s="116"/>
      <c r="EL266" s="159"/>
      <c r="EN266" s="116"/>
      <c r="EO266" s="116"/>
      <c r="EP266" s="159"/>
      <c r="EQ266" s="159">
        <v>-1478</v>
      </c>
      <c r="ER266" s="116">
        <v>118</v>
      </c>
      <c r="ES266" s="116">
        <v>222</v>
      </c>
      <c r="ET266" s="160">
        <v>-2110</v>
      </c>
      <c r="EU266" s="116">
        <v>217</v>
      </c>
      <c r="EV266" s="116">
        <v>41</v>
      </c>
      <c r="EW266" s="160">
        <v>-2005</v>
      </c>
      <c r="EX266" s="160">
        <v>169</v>
      </c>
      <c r="EY266" s="160">
        <v>119</v>
      </c>
      <c r="EZ266" s="116">
        <v>681</v>
      </c>
      <c r="FA266" s="116">
        <v>0</v>
      </c>
      <c r="FB266" s="116">
        <v>630</v>
      </c>
      <c r="FC266" s="160">
        <v>8</v>
      </c>
      <c r="FD266" s="116">
        <v>2308</v>
      </c>
      <c r="FE266" s="116">
        <v>-1</v>
      </c>
      <c r="FF266" s="3">
        <v>8461</v>
      </c>
      <c r="FG266" s="3">
        <v>7563</v>
      </c>
      <c r="FH266" s="3">
        <v>898</v>
      </c>
      <c r="FI266" s="3">
        <v>0</v>
      </c>
      <c r="FJ266" s="125">
        <v>8241</v>
      </c>
      <c r="FK266" s="160">
        <v>7316</v>
      </c>
      <c r="FL266" s="125">
        <v>925</v>
      </c>
      <c r="FM266" s="116">
        <v>0</v>
      </c>
      <c r="FN266" s="125">
        <v>9669</v>
      </c>
      <c r="FO266" s="116">
        <v>8588</v>
      </c>
      <c r="FP266" s="116">
        <v>1081</v>
      </c>
      <c r="FQ266" s="116">
        <v>-32</v>
      </c>
      <c r="FR266" s="153">
        <v>1090</v>
      </c>
      <c r="FS266" s="153">
        <v>238</v>
      </c>
      <c r="FT266" s="276">
        <v>113</v>
      </c>
      <c r="FU266" s="3">
        <v>680</v>
      </c>
      <c r="FV266" s="159">
        <v>785</v>
      </c>
      <c r="FW266" s="170"/>
      <c r="FZ266" s="155"/>
      <c r="GA266" s="2"/>
      <c r="GD266" s="163"/>
      <c r="GE266" s="2"/>
      <c r="GF266" s="2"/>
    </row>
    <row r="267" spans="1:188" ht="14.5" x14ac:dyDescent="0.35">
      <c r="A267" s="72">
        <v>858</v>
      </c>
      <c r="B267" s="70" t="s">
        <v>258</v>
      </c>
      <c r="C267" s="158">
        <v>38664</v>
      </c>
      <c r="D267" s="171"/>
      <c r="E267" s="128">
        <v>5.0321800145172997</v>
      </c>
      <c r="F267" s="128">
        <v>45.656312422321847</v>
      </c>
      <c r="G267" s="129">
        <v>-4494.9306848748192</v>
      </c>
      <c r="H267" s="216"/>
      <c r="I267" s="172"/>
      <c r="J267" s="218"/>
      <c r="K267" s="128">
        <v>47.733916391377711</v>
      </c>
      <c r="L267" s="129">
        <v>553.20194496172144</v>
      </c>
      <c r="M267" s="129">
        <v>15.502722463601197</v>
      </c>
      <c r="N267" s="129">
        <v>13024.725843161597</v>
      </c>
      <c r="O267" s="129"/>
      <c r="P267" s="117">
        <v>249917</v>
      </c>
      <c r="Q267" s="161">
        <v>448350</v>
      </c>
      <c r="R267" s="161">
        <v>-162</v>
      </c>
      <c r="S267" s="161">
        <v>-198595</v>
      </c>
      <c r="T267" s="124">
        <v>179050</v>
      </c>
      <c r="U267" s="124">
        <v>40116</v>
      </c>
      <c r="V267" s="136"/>
      <c r="X267" s="116">
        <v>-1535</v>
      </c>
      <c r="Y267" s="116">
        <v>171</v>
      </c>
      <c r="Z267" s="161">
        <v>19207</v>
      </c>
      <c r="AA267" s="116">
        <v>21467</v>
      </c>
      <c r="AB267" s="117">
        <v>-576</v>
      </c>
      <c r="AD267" s="161">
        <v>-2836</v>
      </c>
      <c r="AE267" s="116">
        <v>145</v>
      </c>
      <c r="AF267" s="116">
        <v>-12</v>
      </c>
      <c r="AG267" s="116">
        <v>20</v>
      </c>
      <c r="AH267" s="116">
        <v>-201</v>
      </c>
      <c r="AI267" s="160">
        <v>-2884</v>
      </c>
      <c r="AJ267" s="161">
        <v>63847</v>
      </c>
      <c r="AK267" s="161">
        <v>11684</v>
      </c>
      <c r="AL267" s="150"/>
      <c r="AM267" s="161">
        <v>-1034</v>
      </c>
      <c r="AN267" s="161">
        <v>-2542</v>
      </c>
      <c r="AO267" s="160">
        <v>-27648</v>
      </c>
      <c r="AQ267" s="160"/>
      <c r="AR267" s="117"/>
      <c r="AS267" s="117"/>
      <c r="AT267" s="99">
        <v>19.5</v>
      </c>
      <c r="AU267" s="130"/>
      <c r="AV267" s="262">
        <v>144</v>
      </c>
      <c r="AW267" s="267">
        <v>38599</v>
      </c>
      <c r="AX267" s="124"/>
      <c r="AY267" s="255">
        <v>1.15605141536684</v>
      </c>
      <c r="AZ267" s="259">
        <v>60.632471548343908</v>
      </c>
      <c r="BA267" s="160">
        <v>-5670.9241172051088</v>
      </c>
      <c r="BB267" s="130"/>
      <c r="BC267" s="130"/>
      <c r="BD267" s="130"/>
      <c r="BE267" s="128">
        <v>39.313851448356516</v>
      </c>
      <c r="BF267" s="160">
        <v>760.53783776781779</v>
      </c>
      <c r="BG267" s="129">
        <v>14.868852708142187</v>
      </c>
      <c r="BH267" s="131">
        <v>13638.462136324775</v>
      </c>
      <c r="BI267" s="124"/>
      <c r="BJ267" s="117">
        <v>246461</v>
      </c>
      <c r="BK267" s="117">
        <v>454751</v>
      </c>
      <c r="BL267" s="161">
        <v>19</v>
      </c>
      <c r="BM267" s="161">
        <v>-208271</v>
      </c>
      <c r="BN267" s="117">
        <v>182381</v>
      </c>
      <c r="BO267" s="117">
        <v>41693</v>
      </c>
      <c r="BP267" s="136"/>
      <c r="BR267" s="160">
        <v>-1600</v>
      </c>
      <c r="BS267" s="160">
        <v>163</v>
      </c>
      <c r="BT267" s="161">
        <v>14366</v>
      </c>
      <c r="BU267" s="125">
        <v>30677</v>
      </c>
      <c r="BV267" s="161">
        <v>0</v>
      </c>
      <c r="BX267" s="161">
        <v>-16311</v>
      </c>
      <c r="BY267" s="160">
        <v>110</v>
      </c>
      <c r="BZ267" s="160">
        <v>0</v>
      </c>
      <c r="CA267" s="160">
        <v>8</v>
      </c>
      <c r="CB267" s="160">
        <v>-110</v>
      </c>
      <c r="CC267" s="160">
        <v>-16319</v>
      </c>
      <c r="CD267" s="160">
        <v>57072</v>
      </c>
      <c r="CE267" s="116">
        <v>4288</v>
      </c>
      <c r="CF267" s="150"/>
      <c r="CG267" s="161">
        <v>-18117</v>
      </c>
      <c r="CH267" s="160">
        <v>-12205</v>
      </c>
      <c r="CI267" s="159">
        <v>-34586</v>
      </c>
      <c r="CK267" s="124"/>
      <c r="CL267" s="161"/>
      <c r="CM267" s="124"/>
      <c r="CN267" s="265">
        <v>19.5</v>
      </c>
      <c r="CO267" s="130"/>
      <c r="CP267" s="116">
        <v>172</v>
      </c>
      <c r="CQ267" s="267">
        <v>38783</v>
      </c>
      <c r="CR267" s="124"/>
      <c r="CS267" s="268">
        <v>2.5244362348957132</v>
      </c>
      <c r="CT267" s="269">
        <v>56.880070168914685</v>
      </c>
      <c r="CU267" s="160">
        <v>-5755.6661423819714</v>
      </c>
      <c r="CV267" s="130"/>
      <c r="CW267" s="130"/>
      <c r="CX267" s="130"/>
      <c r="CY267" s="269">
        <v>39.976895240251764</v>
      </c>
      <c r="CZ267" s="125">
        <v>736.22463450480882</v>
      </c>
      <c r="DA267" s="125">
        <v>19.97421252862879</v>
      </c>
      <c r="DB267" s="273">
        <v>13453.446097516955</v>
      </c>
      <c r="DC267" s="124"/>
      <c r="DD267" s="117">
        <v>242661</v>
      </c>
      <c r="DE267" s="117">
        <v>462189</v>
      </c>
      <c r="DF267" s="117">
        <v>12</v>
      </c>
      <c r="DG267" s="117">
        <v>-219516</v>
      </c>
      <c r="DH267" s="117">
        <v>191976</v>
      </c>
      <c r="DI267" s="117">
        <v>60169</v>
      </c>
      <c r="DJ267" s="136"/>
      <c r="DL267" s="160">
        <v>-1841</v>
      </c>
      <c r="DM267" s="160">
        <v>152</v>
      </c>
      <c r="DN267" s="161">
        <v>30940</v>
      </c>
      <c r="DO267" s="116">
        <v>27717</v>
      </c>
      <c r="DP267" s="161">
        <v>0</v>
      </c>
      <c r="DR267" s="161">
        <v>3223</v>
      </c>
      <c r="DS267" s="116">
        <v>177</v>
      </c>
      <c r="DT267" s="116">
        <v>0</v>
      </c>
      <c r="DU267" s="116">
        <v>10</v>
      </c>
      <c r="DV267" s="116">
        <v>-82</v>
      </c>
      <c r="DW267" s="160">
        <v>3308</v>
      </c>
      <c r="DX267" s="160">
        <v>60801</v>
      </c>
      <c r="DY267" s="116">
        <v>25631</v>
      </c>
      <c r="DZ267" s="150"/>
      <c r="EA267" s="117">
        <v>7367</v>
      </c>
      <c r="EB267" s="116">
        <v>-11133</v>
      </c>
      <c r="EC267" s="159">
        <v>-5550</v>
      </c>
      <c r="EE267" s="125"/>
      <c r="EF267" s="161"/>
      <c r="EG267" s="124"/>
      <c r="EH267" s="253">
        <v>19.5</v>
      </c>
      <c r="EI267" s="130"/>
      <c r="EJ267" s="125">
        <v>223</v>
      </c>
      <c r="EK267" s="116"/>
      <c r="EL267" s="159"/>
      <c r="EN267" s="116"/>
      <c r="EO267" s="116"/>
      <c r="EP267" s="159"/>
      <c r="EQ267" s="159">
        <v>-50444</v>
      </c>
      <c r="ER267" s="116">
        <v>1402</v>
      </c>
      <c r="ES267" s="116">
        <v>9710</v>
      </c>
      <c r="ET267" s="160">
        <v>-57795</v>
      </c>
      <c r="EU267" s="116">
        <v>1156</v>
      </c>
      <c r="EV267" s="116">
        <v>17765</v>
      </c>
      <c r="EW267" s="160">
        <v>-46032</v>
      </c>
      <c r="EX267" s="160">
        <v>134</v>
      </c>
      <c r="EY267" s="160">
        <v>14717</v>
      </c>
      <c r="EZ267" s="116">
        <v>18120</v>
      </c>
      <c r="FA267" s="116">
        <v>3998</v>
      </c>
      <c r="FB267" s="116">
        <v>40728</v>
      </c>
      <c r="FC267" s="160">
        <v>10908</v>
      </c>
      <c r="FD267" s="116">
        <v>29297</v>
      </c>
      <c r="FE267" s="116">
        <v>-9333</v>
      </c>
      <c r="FF267" s="3">
        <v>162944</v>
      </c>
      <c r="FG267" s="3">
        <v>131316</v>
      </c>
      <c r="FH267" s="3">
        <v>31628</v>
      </c>
      <c r="FI267" s="3">
        <v>321</v>
      </c>
      <c r="FJ267" s="125">
        <v>202358</v>
      </c>
      <c r="FK267" s="160">
        <v>158256</v>
      </c>
      <c r="FL267" s="125">
        <v>44102</v>
      </c>
      <c r="FM267" s="116">
        <v>3</v>
      </c>
      <c r="FN267" s="125">
        <v>211102</v>
      </c>
      <c r="FO267" s="116">
        <v>184814</v>
      </c>
      <c r="FP267" s="116">
        <v>26288</v>
      </c>
      <c r="FQ267" s="116">
        <v>7367</v>
      </c>
      <c r="FR267" s="153">
        <v>411</v>
      </c>
      <c r="FS267" s="153">
        <v>4775</v>
      </c>
      <c r="FT267" s="276">
        <v>5745</v>
      </c>
      <c r="FU267" s="3">
        <v>37575</v>
      </c>
      <c r="FV267" s="159">
        <v>40316</v>
      </c>
      <c r="FW267" s="170"/>
      <c r="FZ267" s="155"/>
      <c r="GA267" s="2"/>
      <c r="GD267" s="163"/>
      <c r="GE267" s="2"/>
      <c r="GF267" s="2"/>
    </row>
    <row r="268" spans="1:188" ht="14.5" x14ac:dyDescent="0.35">
      <c r="A268" s="72">
        <v>859</v>
      </c>
      <c r="B268" s="70" t="s">
        <v>259</v>
      </c>
      <c r="C268" s="158">
        <v>6758</v>
      </c>
      <c r="D268" s="171"/>
      <c r="E268" s="128">
        <v>0.20025839793281655</v>
      </c>
      <c r="F268" s="128">
        <v>85.324391474099116</v>
      </c>
      <c r="G268" s="129">
        <v>-6048.2391240011839</v>
      </c>
      <c r="H268" s="216"/>
      <c r="I268" s="172"/>
      <c r="J268" s="218"/>
      <c r="K268" s="128">
        <v>26.395064821193714</v>
      </c>
      <c r="L268" s="129">
        <v>316.2178159218704</v>
      </c>
      <c r="M268" s="129">
        <v>12.725011011958172</v>
      </c>
      <c r="N268" s="129">
        <v>9070.2870671796391</v>
      </c>
      <c r="O268" s="129"/>
      <c r="P268" s="117">
        <v>14817</v>
      </c>
      <c r="Q268" s="161">
        <v>52607</v>
      </c>
      <c r="R268" s="161">
        <v>-7</v>
      </c>
      <c r="S268" s="161">
        <v>-37797</v>
      </c>
      <c r="T268" s="124">
        <v>18296</v>
      </c>
      <c r="U268" s="124">
        <v>20418</v>
      </c>
      <c r="V268" s="136"/>
      <c r="X268" s="116">
        <v>-317</v>
      </c>
      <c r="Y268" s="116">
        <v>8</v>
      </c>
      <c r="Z268" s="161">
        <v>608</v>
      </c>
      <c r="AA268" s="116">
        <v>3002</v>
      </c>
      <c r="AB268" s="116">
        <v>255</v>
      </c>
      <c r="AD268" s="161">
        <v>-2139</v>
      </c>
      <c r="AE268" s="117">
        <v>12</v>
      </c>
      <c r="AF268" s="117">
        <v>-22</v>
      </c>
      <c r="AG268" s="116">
        <v>-1</v>
      </c>
      <c r="AH268" s="116">
        <v>-2</v>
      </c>
      <c r="AI268" s="160">
        <v>-2152</v>
      </c>
      <c r="AJ268" s="161">
        <v>5289</v>
      </c>
      <c r="AK268" s="161">
        <v>392</v>
      </c>
      <c r="AL268" s="150"/>
      <c r="AM268" s="161">
        <v>551</v>
      </c>
      <c r="AN268" s="161">
        <v>-4322</v>
      </c>
      <c r="AO268" s="160">
        <v>-2712</v>
      </c>
      <c r="AQ268" s="160"/>
      <c r="AR268" s="117"/>
      <c r="AS268" s="117"/>
      <c r="AT268" s="99">
        <v>21</v>
      </c>
      <c r="AU268" s="130"/>
      <c r="AV268" s="262">
        <v>276</v>
      </c>
      <c r="AW268" s="267">
        <v>6637</v>
      </c>
      <c r="AX268" s="124"/>
      <c r="AY268" s="255">
        <v>0.89172780166961796</v>
      </c>
      <c r="AZ268" s="259">
        <v>81.381760473210576</v>
      </c>
      <c r="BA268" s="160">
        <v>-6058.6108181407262</v>
      </c>
      <c r="BB268" s="130"/>
      <c r="BC268" s="130"/>
      <c r="BD268" s="130"/>
      <c r="BE268" s="128">
        <v>28.019081094652272</v>
      </c>
      <c r="BF268" s="160">
        <v>250.86635528100044</v>
      </c>
      <c r="BG268" s="129">
        <v>13.298864488849485</v>
      </c>
      <c r="BH268" s="131">
        <v>8837.1252071719155</v>
      </c>
      <c r="BI268" s="124"/>
      <c r="BJ268" s="117">
        <v>15008</v>
      </c>
      <c r="BK268" s="117">
        <v>51982</v>
      </c>
      <c r="BL268" s="161">
        <v>42</v>
      </c>
      <c r="BM268" s="161">
        <v>-36932</v>
      </c>
      <c r="BN268" s="117">
        <v>19721</v>
      </c>
      <c r="BO268" s="117">
        <v>20722</v>
      </c>
      <c r="BP268" s="136"/>
      <c r="BR268" s="160">
        <v>-286</v>
      </c>
      <c r="BS268" s="160">
        <v>7</v>
      </c>
      <c r="BT268" s="161">
        <v>3232</v>
      </c>
      <c r="BU268" s="125">
        <v>3103</v>
      </c>
      <c r="BV268" s="160">
        <v>268</v>
      </c>
      <c r="BX268" s="161">
        <v>397</v>
      </c>
      <c r="BY268" s="161">
        <v>-2</v>
      </c>
      <c r="BZ268" s="161">
        <v>10</v>
      </c>
      <c r="CA268" s="160">
        <v>3</v>
      </c>
      <c r="CB268" s="160">
        <v>-1</v>
      </c>
      <c r="CC268" s="160">
        <v>401</v>
      </c>
      <c r="CD268" s="160">
        <v>5674</v>
      </c>
      <c r="CE268" s="116">
        <v>3212</v>
      </c>
      <c r="CF268" s="150"/>
      <c r="CG268" s="161">
        <v>-589</v>
      </c>
      <c r="CH268" s="160">
        <v>-3660</v>
      </c>
      <c r="CI268" s="159">
        <v>886</v>
      </c>
      <c r="CK268" s="124"/>
      <c r="CL268" s="161"/>
      <c r="CM268" s="124"/>
      <c r="CN268" s="265">
        <v>22</v>
      </c>
      <c r="CO268" s="130"/>
      <c r="CP268" s="116">
        <v>125</v>
      </c>
      <c r="CQ268" s="267">
        <v>6603</v>
      </c>
      <c r="CR268" s="124"/>
      <c r="CS268" s="268">
        <v>1.4220051709278942</v>
      </c>
      <c r="CT268" s="269">
        <v>79.158136938095325</v>
      </c>
      <c r="CU268" s="160">
        <v>-6004.0890504316221</v>
      </c>
      <c r="CV268" s="130"/>
      <c r="CW268" s="130"/>
      <c r="CX268" s="130"/>
      <c r="CY268" s="269">
        <v>28.789400320748214</v>
      </c>
      <c r="CZ268" s="125">
        <v>561.10858700590643</v>
      </c>
      <c r="DA268" s="125">
        <v>21.830354980870744</v>
      </c>
      <c r="DB268" s="273">
        <v>9381.6447069513852</v>
      </c>
      <c r="DC268" s="124"/>
      <c r="DD268" s="117">
        <v>15415</v>
      </c>
      <c r="DE268" s="117">
        <v>54268</v>
      </c>
      <c r="DF268" s="117">
        <v>95</v>
      </c>
      <c r="DG268" s="117">
        <v>-38758</v>
      </c>
      <c r="DH268" s="117">
        <v>19899</v>
      </c>
      <c r="DI268" s="117">
        <v>23793</v>
      </c>
      <c r="DJ268" s="136"/>
      <c r="DL268" s="160">
        <v>-271</v>
      </c>
      <c r="DM268" s="160">
        <v>3</v>
      </c>
      <c r="DN268" s="161">
        <v>4666</v>
      </c>
      <c r="DO268" s="116">
        <v>3078</v>
      </c>
      <c r="DP268" s="160">
        <v>-219</v>
      </c>
      <c r="DR268" s="161">
        <v>1369</v>
      </c>
      <c r="DS268" s="117">
        <v>-29</v>
      </c>
      <c r="DT268" s="117">
        <v>30</v>
      </c>
      <c r="DU268" s="116">
        <v>-1</v>
      </c>
      <c r="DV268" s="116">
        <v>-9</v>
      </c>
      <c r="DW268" s="160">
        <v>1362</v>
      </c>
      <c r="DX268" s="160">
        <v>7026</v>
      </c>
      <c r="DY268" s="116">
        <v>4453</v>
      </c>
      <c r="DZ268" s="150"/>
      <c r="EA268" s="117">
        <v>-188</v>
      </c>
      <c r="EB268" s="116">
        <v>-3197</v>
      </c>
      <c r="EC268" s="159">
        <v>561</v>
      </c>
      <c r="EE268" s="125"/>
      <c r="EF268" s="161"/>
      <c r="EG268" s="124"/>
      <c r="EH268" s="253">
        <v>22</v>
      </c>
      <c r="EI268" s="130"/>
      <c r="EJ268" s="125">
        <v>256</v>
      </c>
      <c r="EK268" s="116"/>
      <c r="EL268" s="159"/>
      <c r="EN268" s="116"/>
      <c r="EO268" s="116"/>
      <c r="EP268" s="159"/>
      <c r="EQ268" s="159">
        <v>-4003</v>
      </c>
      <c r="ER268" s="116">
        <v>73</v>
      </c>
      <c r="ES268" s="116">
        <v>826</v>
      </c>
      <c r="ET268" s="160">
        <v>-2686</v>
      </c>
      <c r="EU268" s="116">
        <v>72</v>
      </c>
      <c r="EV268" s="116">
        <v>288</v>
      </c>
      <c r="EW268" s="160">
        <v>-4145</v>
      </c>
      <c r="EX268" s="160">
        <v>66</v>
      </c>
      <c r="EY268" s="160">
        <v>187</v>
      </c>
      <c r="EZ268" s="116">
        <v>4868</v>
      </c>
      <c r="FA268" s="116">
        <v>1997</v>
      </c>
      <c r="FB268" s="116">
        <v>4203</v>
      </c>
      <c r="FC268" s="160">
        <v>-1404</v>
      </c>
      <c r="FD268" s="116">
        <v>2135</v>
      </c>
      <c r="FE268" s="116">
        <v>2427</v>
      </c>
      <c r="FF268" s="3">
        <v>36173</v>
      </c>
      <c r="FG268" s="3">
        <v>32599</v>
      </c>
      <c r="FH268" s="3">
        <v>3574</v>
      </c>
      <c r="FI268" s="3">
        <v>8</v>
      </c>
      <c r="FJ268" s="125">
        <v>34656</v>
      </c>
      <c r="FK268" s="160">
        <v>31366</v>
      </c>
      <c r="FL268" s="125">
        <v>3290</v>
      </c>
      <c r="FM268" s="116">
        <v>2</v>
      </c>
      <c r="FN268" s="125">
        <v>33620</v>
      </c>
      <c r="FO268" s="116">
        <v>30232</v>
      </c>
      <c r="FP268" s="116">
        <v>3388</v>
      </c>
      <c r="FQ268" s="116">
        <v>-188</v>
      </c>
      <c r="FR268" s="153">
        <v>875</v>
      </c>
      <c r="FS268" s="153">
        <v>842</v>
      </c>
      <c r="FT268" s="276">
        <v>598</v>
      </c>
      <c r="FU268" s="3">
        <v>761</v>
      </c>
      <c r="FV268" s="159">
        <v>981</v>
      </c>
      <c r="FW268" s="170"/>
      <c r="FZ268" s="155"/>
      <c r="GA268" s="2"/>
      <c r="GD268" s="163"/>
      <c r="GE268" s="2"/>
      <c r="GF268" s="2"/>
    </row>
    <row r="269" spans="1:188" ht="14.5" x14ac:dyDescent="0.35">
      <c r="A269" s="72">
        <v>886</v>
      </c>
      <c r="B269" s="70" t="s">
        <v>260</v>
      </c>
      <c r="C269" s="158">
        <v>13021</v>
      </c>
      <c r="D269" s="171"/>
      <c r="E269" s="128">
        <v>0.89546263345195731</v>
      </c>
      <c r="F269" s="128">
        <v>56.266639265396869</v>
      </c>
      <c r="G269" s="129">
        <v>-3377.6207664541894</v>
      </c>
      <c r="H269" s="216"/>
      <c r="I269" s="172"/>
      <c r="J269" s="218"/>
      <c r="K269" s="128">
        <v>31.655145716971742</v>
      </c>
      <c r="L269" s="129">
        <v>614.3153367636894</v>
      </c>
      <c r="M269" s="129">
        <v>25.477634472407413</v>
      </c>
      <c r="N269" s="129">
        <v>8800.8601489900939</v>
      </c>
      <c r="O269" s="129"/>
      <c r="P269" s="117">
        <v>33455</v>
      </c>
      <c r="Q269" s="161">
        <v>102976</v>
      </c>
      <c r="R269" s="161">
        <v>-196</v>
      </c>
      <c r="S269" s="161">
        <v>-69717</v>
      </c>
      <c r="T269" s="124">
        <v>49016</v>
      </c>
      <c r="U269" s="124">
        <v>24580</v>
      </c>
      <c r="V269" s="136"/>
      <c r="X269" s="116">
        <v>-452</v>
      </c>
      <c r="Y269" s="116">
        <v>142</v>
      </c>
      <c r="Z269" s="161">
        <v>3569</v>
      </c>
      <c r="AA269" s="116">
        <v>4985</v>
      </c>
      <c r="AB269" s="117">
        <v>0</v>
      </c>
      <c r="AD269" s="161">
        <v>-1416</v>
      </c>
      <c r="AE269" s="116">
        <v>-6</v>
      </c>
      <c r="AF269" s="116">
        <v>0</v>
      </c>
      <c r="AG269" s="116">
        <v>-24</v>
      </c>
      <c r="AH269" s="116">
        <v>1</v>
      </c>
      <c r="AI269" s="160">
        <v>-1445</v>
      </c>
      <c r="AJ269" s="161">
        <v>-9979</v>
      </c>
      <c r="AK269" s="161">
        <v>3466</v>
      </c>
      <c r="AL269" s="150"/>
      <c r="AM269" s="161">
        <v>-238</v>
      </c>
      <c r="AN269" s="161">
        <v>-4039</v>
      </c>
      <c r="AO269" s="160">
        <v>-2822</v>
      </c>
      <c r="AQ269" s="160"/>
      <c r="AR269" s="117"/>
      <c r="AS269" s="117"/>
      <c r="AT269" s="99">
        <v>21</v>
      </c>
      <c r="AU269" s="130"/>
      <c r="AV269" s="262">
        <v>232</v>
      </c>
      <c r="AW269" s="267">
        <v>12871</v>
      </c>
      <c r="AX269" s="124"/>
      <c r="AY269" s="255">
        <v>0.89430543572044863</v>
      </c>
      <c r="AZ269" s="259">
        <v>54.728559903552423</v>
      </c>
      <c r="BA269" s="160">
        <v>-3617.8230129749049</v>
      </c>
      <c r="BB269" s="130"/>
      <c r="BC269" s="130"/>
      <c r="BD269" s="130"/>
      <c r="BE269" s="128">
        <v>31.404148138241556</v>
      </c>
      <c r="BF269" s="160">
        <v>575.71284282495526</v>
      </c>
      <c r="BG269" s="129">
        <v>24.802363315097352</v>
      </c>
      <c r="BH269" s="131">
        <v>9145.8317147074813</v>
      </c>
      <c r="BI269" s="124"/>
      <c r="BJ269" s="117">
        <v>36261</v>
      </c>
      <c r="BK269" s="117">
        <v>106149</v>
      </c>
      <c r="BL269" s="161">
        <v>-131</v>
      </c>
      <c r="BM269" s="161">
        <v>-70019</v>
      </c>
      <c r="BN269" s="117">
        <v>49521</v>
      </c>
      <c r="BO269" s="117">
        <v>24537</v>
      </c>
      <c r="BP269" s="136"/>
      <c r="BR269" s="160">
        <v>-328</v>
      </c>
      <c r="BS269" s="160">
        <v>104</v>
      </c>
      <c r="BT269" s="161">
        <v>3815</v>
      </c>
      <c r="BU269" s="125">
        <v>4313</v>
      </c>
      <c r="BV269" s="161">
        <v>0</v>
      </c>
      <c r="BX269" s="161">
        <v>-498</v>
      </c>
      <c r="BY269" s="160">
        <v>20</v>
      </c>
      <c r="BZ269" s="160">
        <v>0</v>
      </c>
      <c r="CA269" s="160">
        <v>17</v>
      </c>
      <c r="CB269" s="160">
        <v>0</v>
      </c>
      <c r="CC269" s="160">
        <v>-495</v>
      </c>
      <c r="CD269" s="160">
        <v>-10474</v>
      </c>
      <c r="CE269" s="116">
        <v>1271</v>
      </c>
      <c r="CF269" s="150"/>
      <c r="CG269" s="160">
        <v>565</v>
      </c>
      <c r="CH269" s="160">
        <v>-4305</v>
      </c>
      <c r="CI269" s="159">
        <v>-1105</v>
      </c>
      <c r="CK269" s="124"/>
      <c r="CL269" s="161"/>
      <c r="CM269" s="124"/>
      <c r="CN269" s="265">
        <v>21</v>
      </c>
      <c r="CO269" s="130"/>
      <c r="CP269" s="116">
        <v>211</v>
      </c>
      <c r="CQ269" s="267">
        <v>12735</v>
      </c>
      <c r="CR269" s="124"/>
      <c r="CS269" s="268">
        <v>1.8841379310344828</v>
      </c>
      <c r="CT269" s="269">
        <v>50.040103147018996</v>
      </c>
      <c r="CU269" s="160">
        <v>-3279.9371809972517</v>
      </c>
      <c r="CV269" s="130"/>
      <c r="CW269" s="130"/>
      <c r="CX269" s="130"/>
      <c r="CY269" s="269">
        <v>34.991806614097023</v>
      </c>
      <c r="CZ269" s="125">
        <v>770.47506870828431</v>
      </c>
      <c r="DA269" s="125">
        <v>30.576634109691962</v>
      </c>
      <c r="DB269" s="273">
        <v>9197.3301923831968</v>
      </c>
      <c r="DC269" s="124"/>
      <c r="DD269" s="117">
        <v>34670</v>
      </c>
      <c r="DE269" s="117">
        <v>106507</v>
      </c>
      <c r="DF269" s="117">
        <v>0</v>
      </c>
      <c r="DG269" s="117">
        <v>-71837</v>
      </c>
      <c r="DH269" s="117">
        <v>51473</v>
      </c>
      <c r="DI269" s="117">
        <v>29808</v>
      </c>
      <c r="DJ269" s="136"/>
      <c r="DL269" s="160">
        <v>-273</v>
      </c>
      <c r="DM269" s="160">
        <v>110</v>
      </c>
      <c r="DN269" s="161">
        <v>9281</v>
      </c>
      <c r="DO269" s="116">
        <v>5658</v>
      </c>
      <c r="DP269" s="161">
        <v>0</v>
      </c>
      <c r="DR269" s="161">
        <v>3623</v>
      </c>
      <c r="DS269" s="116">
        <v>-25</v>
      </c>
      <c r="DT269" s="116">
        <v>-40</v>
      </c>
      <c r="DU269" s="116">
        <v>9</v>
      </c>
      <c r="DV269" s="116">
        <v>-7</v>
      </c>
      <c r="DW269" s="160">
        <v>3542</v>
      </c>
      <c r="DX269" s="160">
        <v>-6859</v>
      </c>
      <c r="DY269" s="116">
        <v>8314</v>
      </c>
      <c r="DZ269" s="150"/>
      <c r="EA269" s="116">
        <v>-39</v>
      </c>
      <c r="EB269" s="116">
        <v>-4794</v>
      </c>
      <c r="EC269" s="159">
        <v>4870</v>
      </c>
      <c r="EE269" s="125"/>
      <c r="EF269" s="161"/>
      <c r="EG269" s="124"/>
      <c r="EH269" s="253">
        <v>21.5</v>
      </c>
      <c r="EI269" s="130"/>
      <c r="EJ269" s="125">
        <v>248</v>
      </c>
      <c r="EK269" s="116"/>
      <c r="EL269" s="159"/>
      <c r="EN269" s="116"/>
      <c r="EO269" s="116"/>
      <c r="EP269" s="159"/>
      <c r="EQ269" s="159">
        <v>-7095</v>
      </c>
      <c r="ER269" s="116">
        <v>10</v>
      </c>
      <c r="ES269" s="116">
        <v>797</v>
      </c>
      <c r="ET269" s="160">
        <v>-6822</v>
      </c>
      <c r="EU269" s="116">
        <v>49</v>
      </c>
      <c r="EV269" s="116">
        <v>4397</v>
      </c>
      <c r="EW269" s="160">
        <v>-5535</v>
      </c>
      <c r="EX269" s="160">
        <v>33</v>
      </c>
      <c r="EY269" s="160">
        <v>2058</v>
      </c>
      <c r="EZ269" s="116">
        <v>7001</v>
      </c>
      <c r="FA269" s="116">
        <v>-435</v>
      </c>
      <c r="FB269" s="116">
        <v>6840</v>
      </c>
      <c r="FC269" s="160">
        <v>168</v>
      </c>
      <c r="FD269" s="116">
        <v>3361</v>
      </c>
      <c r="FE269" s="116">
        <v>-1492</v>
      </c>
      <c r="FF269" s="3">
        <v>45045</v>
      </c>
      <c r="FG269" s="3">
        <v>39464</v>
      </c>
      <c r="FH269" s="3">
        <v>5581</v>
      </c>
      <c r="FI269" s="3">
        <v>0</v>
      </c>
      <c r="FJ269" s="125">
        <v>47748</v>
      </c>
      <c r="FK269" s="160">
        <v>41464</v>
      </c>
      <c r="FL269" s="125">
        <v>6284</v>
      </c>
      <c r="FM269" s="116">
        <v>0</v>
      </c>
      <c r="FN269" s="125">
        <v>44824</v>
      </c>
      <c r="FO269" s="116">
        <v>39620</v>
      </c>
      <c r="FP269" s="116">
        <v>5204</v>
      </c>
      <c r="FQ269" s="116">
        <v>-39</v>
      </c>
      <c r="FR269" s="153">
        <v>105</v>
      </c>
      <c r="FS269" s="153">
        <v>72</v>
      </c>
      <c r="FT269" s="276">
        <v>62</v>
      </c>
      <c r="FU269" s="3">
        <v>294</v>
      </c>
      <c r="FV269" s="159">
        <v>439</v>
      </c>
      <c r="FW269" s="170"/>
      <c r="FZ269" s="155"/>
      <c r="GA269" s="2"/>
      <c r="GD269" s="163"/>
      <c r="GE269" s="2"/>
      <c r="GF269" s="2"/>
    </row>
    <row r="270" spans="1:188" ht="14.5" x14ac:dyDescent="0.35">
      <c r="A270" s="72">
        <v>887</v>
      </c>
      <c r="B270" s="70" t="s">
        <v>261</v>
      </c>
      <c r="C270" s="158">
        <v>4792</v>
      </c>
      <c r="D270" s="171"/>
      <c r="E270" s="128">
        <v>1.4464928057553956</v>
      </c>
      <c r="F270" s="128">
        <v>54.432248539700879</v>
      </c>
      <c r="G270" s="129">
        <v>-3864.1485809682804</v>
      </c>
      <c r="H270" s="216"/>
      <c r="I270" s="172"/>
      <c r="J270" s="218"/>
      <c r="K270" s="128">
        <v>38.589722732237895</v>
      </c>
      <c r="L270" s="129">
        <v>820.11686143572626</v>
      </c>
      <c r="M270" s="129">
        <v>29.807992020447603</v>
      </c>
      <c r="N270" s="129">
        <v>10042.362270450751</v>
      </c>
      <c r="O270" s="129"/>
      <c r="P270" s="117">
        <v>17477</v>
      </c>
      <c r="Q270" s="161">
        <v>43715</v>
      </c>
      <c r="R270" s="161">
        <v>0</v>
      </c>
      <c r="S270" s="161">
        <v>-26238</v>
      </c>
      <c r="T270" s="124">
        <v>15777</v>
      </c>
      <c r="U270" s="124">
        <v>13483</v>
      </c>
      <c r="V270" s="136"/>
      <c r="X270" s="116">
        <v>-107</v>
      </c>
      <c r="Y270" s="116">
        <v>179</v>
      </c>
      <c r="Z270" s="161">
        <v>3094</v>
      </c>
      <c r="AA270" s="116">
        <v>1981</v>
      </c>
      <c r="AB270" s="116">
        <v>0</v>
      </c>
      <c r="AD270" s="161">
        <v>1113</v>
      </c>
      <c r="AE270" s="116">
        <v>-36</v>
      </c>
      <c r="AF270" s="116">
        <v>0</v>
      </c>
      <c r="AG270" s="116">
        <v>-25</v>
      </c>
      <c r="AH270" s="116">
        <v>112</v>
      </c>
      <c r="AI270" s="160">
        <v>1164</v>
      </c>
      <c r="AJ270" s="161">
        <v>2189</v>
      </c>
      <c r="AK270" s="161">
        <v>3130</v>
      </c>
      <c r="AL270" s="150"/>
      <c r="AM270" s="161">
        <v>-330</v>
      </c>
      <c r="AN270" s="161">
        <v>-2101</v>
      </c>
      <c r="AO270" s="160">
        <v>1024</v>
      </c>
      <c r="AQ270" s="160"/>
      <c r="AR270" s="117"/>
      <c r="AS270" s="117"/>
      <c r="AT270" s="99">
        <v>21.75</v>
      </c>
      <c r="AU270" s="130"/>
      <c r="AV270" s="262">
        <v>92</v>
      </c>
      <c r="AW270" s="267">
        <v>4688</v>
      </c>
      <c r="AX270" s="124"/>
      <c r="AY270" s="255">
        <v>0.78976640711902113</v>
      </c>
      <c r="AZ270" s="259">
        <v>52.433999378817681</v>
      </c>
      <c r="BA270" s="160">
        <v>-4037.9692832764508</v>
      </c>
      <c r="BB270" s="130"/>
      <c r="BC270" s="130"/>
      <c r="BD270" s="130"/>
      <c r="BE270" s="128">
        <v>38.083403035010157</v>
      </c>
      <c r="BF270" s="160">
        <v>823.59215017064844</v>
      </c>
      <c r="BG270" s="129">
        <v>28.437611514214343</v>
      </c>
      <c r="BH270" s="131">
        <v>10759.812286689419</v>
      </c>
      <c r="BI270" s="124"/>
      <c r="BJ270" s="117">
        <v>19184</v>
      </c>
      <c r="BK270" s="117">
        <v>46896</v>
      </c>
      <c r="BL270" s="161">
        <v>0</v>
      </c>
      <c r="BM270" s="161">
        <v>-27712</v>
      </c>
      <c r="BN270" s="117">
        <v>15517</v>
      </c>
      <c r="BO270" s="117">
        <v>13594</v>
      </c>
      <c r="BP270" s="136"/>
      <c r="BR270" s="160">
        <v>-96</v>
      </c>
      <c r="BS270" s="160">
        <v>3</v>
      </c>
      <c r="BT270" s="161">
        <v>1306</v>
      </c>
      <c r="BU270" s="125">
        <v>2016</v>
      </c>
      <c r="BV270" s="160">
        <v>0</v>
      </c>
      <c r="BX270" s="161">
        <v>-710</v>
      </c>
      <c r="BY270" s="160">
        <v>-32</v>
      </c>
      <c r="BZ270" s="160">
        <v>0</v>
      </c>
      <c r="CA270" s="160">
        <v>18</v>
      </c>
      <c r="CB270" s="160">
        <v>-15</v>
      </c>
      <c r="CC270" s="160">
        <v>-775</v>
      </c>
      <c r="CD270" s="160">
        <v>1283</v>
      </c>
      <c r="CE270" s="116">
        <v>1124</v>
      </c>
      <c r="CF270" s="150"/>
      <c r="CG270" s="160">
        <v>449</v>
      </c>
      <c r="CH270" s="160">
        <v>-1684</v>
      </c>
      <c r="CI270" s="159">
        <v>-484</v>
      </c>
      <c r="CK270" s="124"/>
      <c r="CL270" s="161"/>
      <c r="CM270" s="124"/>
      <c r="CN270" s="265">
        <v>22</v>
      </c>
      <c r="CO270" s="130"/>
      <c r="CP270" s="116">
        <v>216</v>
      </c>
      <c r="CQ270" s="267">
        <v>4644</v>
      </c>
      <c r="CR270" s="124"/>
      <c r="CS270" s="268">
        <v>1.4948132780082988</v>
      </c>
      <c r="CT270" s="269">
        <v>59.737681131751273</v>
      </c>
      <c r="CU270" s="160">
        <v>-4083.1180017226529</v>
      </c>
      <c r="CV270" s="130"/>
      <c r="CW270" s="130"/>
      <c r="CX270" s="130"/>
      <c r="CY270" s="269">
        <v>33.416032523715209</v>
      </c>
      <c r="CZ270" s="125">
        <v>1106.8044788975021</v>
      </c>
      <c r="DA270" s="125">
        <v>34.623334440630423</v>
      </c>
      <c r="DB270" s="273">
        <v>11667.958656330749</v>
      </c>
      <c r="DC270" s="124"/>
      <c r="DD270" s="117">
        <v>20142</v>
      </c>
      <c r="DE270" s="117">
        <v>49507</v>
      </c>
      <c r="DF270" s="117">
        <v>0</v>
      </c>
      <c r="DG270" s="117">
        <v>-29365</v>
      </c>
      <c r="DH270" s="117">
        <v>16067</v>
      </c>
      <c r="DI270" s="117">
        <v>16170</v>
      </c>
      <c r="DJ270" s="136"/>
      <c r="DL270" s="160">
        <v>-163</v>
      </c>
      <c r="DM270" s="160">
        <v>-30</v>
      </c>
      <c r="DN270" s="161">
        <v>2679</v>
      </c>
      <c r="DO270" s="116">
        <v>2354</v>
      </c>
      <c r="DP270" s="160">
        <v>0</v>
      </c>
      <c r="DR270" s="161">
        <v>325</v>
      </c>
      <c r="DS270" s="116">
        <v>-114</v>
      </c>
      <c r="DT270" s="116">
        <v>0</v>
      </c>
      <c r="DU270" s="116">
        <v>60</v>
      </c>
      <c r="DV270" s="116">
        <v>-46</v>
      </c>
      <c r="DW270" s="160">
        <v>105</v>
      </c>
      <c r="DX270" s="160">
        <v>1261</v>
      </c>
      <c r="DY270" s="116">
        <v>2552</v>
      </c>
      <c r="DZ270" s="150"/>
      <c r="EA270" s="116">
        <v>-4651</v>
      </c>
      <c r="EB270" s="116">
        <v>-1725</v>
      </c>
      <c r="EC270" s="159">
        <v>211</v>
      </c>
      <c r="EE270" s="125"/>
      <c r="EF270" s="161"/>
      <c r="EG270" s="124"/>
      <c r="EH270" s="253">
        <v>22</v>
      </c>
      <c r="EI270" s="130"/>
      <c r="EJ270" s="125">
        <v>277</v>
      </c>
      <c r="EK270" s="116"/>
      <c r="EL270" s="159"/>
      <c r="EN270" s="116"/>
      <c r="EO270" s="116"/>
      <c r="EP270" s="159"/>
      <c r="EQ270" s="159">
        <v>-2133</v>
      </c>
      <c r="ER270" s="116">
        <v>0</v>
      </c>
      <c r="ES270" s="116">
        <v>27</v>
      </c>
      <c r="ET270" s="160">
        <v>-1692</v>
      </c>
      <c r="EU270" s="116">
        <v>32</v>
      </c>
      <c r="EV270" s="116">
        <v>52</v>
      </c>
      <c r="EW270" s="160">
        <v>-2427</v>
      </c>
      <c r="EX270" s="160">
        <v>0</v>
      </c>
      <c r="EY270" s="160">
        <v>86</v>
      </c>
      <c r="EZ270" s="116">
        <v>2546</v>
      </c>
      <c r="FA270" s="116">
        <v>-14</v>
      </c>
      <c r="FB270" s="116">
        <v>1097</v>
      </c>
      <c r="FC270" s="160">
        <v>1</v>
      </c>
      <c r="FD270" s="116">
        <v>2599</v>
      </c>
      <c r="FE270" s="116">
        <v>-8</v>
      </c>
      <c r="FF270" s="3">
        <v>20328</v>
      </c>
      <c r="FG270" s="3">
        <v>18496</v>
      </c>
      <c r="FH270" s="3">
        <v>1832</v>
      </c>
      <c r="FI270" s="3">
        <v>13</v>
      </c>
      <c r="FJ270" s="125">
        <v>19628</v>
      </c>
      <c r="FK270" s="160">
        <v>17993</v>
      </c>
      <c r="FL270" s="125">
        <v>1635</v>
      </c>
      <c r="FM270" s="116">
        <v>11</v>
      </c>
      <c r="FN270" s="125">
        <v>20639</v>
      </c>
      <c r="FO270" s="116">
        <v>18764</v>
      </c>
      <c r="FP270" s="116">
        <v>1875</v>
      </c>
      <c r="FQ270" s="116">
        <v>-4651</v>
      </c>
      <c r="FR270" s="153">
        <v>417</v>
      </c>
      <c r="FS270" s="153">
        <v>290</v>
      </c>
      <c r="FT270" s="276">
        <v>266</v>
      </c>
      <c r="FU270" s="3">
        <v>1414</v>
      </c>
      <c r="FV270" s="159">
        <v>1973</v>
      </c>
      <c r="FW270" s="170"/>
      <c r="FZ270" s="155"/>
      <c r="GA270" s="2"/>
      <c r="GD270" s="163"/>
      <c r="GE270" s="2"/>
      <c r="GF270" s="2"/>
    </row>
    <row r="271" spans="1:188" ht="14.5" x14ac:dyDescent="0.35">
      <c r="A271" s="72">
        <v>889</v>
      </c>
      <c r="B271" s="70" t="s">
        <v>262</v>
      </c>
      <c r="C271" s="158">
        <v>2702</v>
      </c>
      <c r="D271" s="171"/>
      <c r="E271" s="128">
        <v>1.0657193605683837</v>
      </c>
      <c r="F271" s="128">
        <v>37.367354238702752</v>
      </c>
      <c r="G271" s="129">
        <v>-3564.0266469282014</v>
      </c>
      <c r="H271" s="216"/>
      <c r="I271" s="172"/>
      <c r="J271" s="218"/>
      <c r="K271" s="128">
        <v>41.19670905011219</v>
      </c>
      <c r="L271" s="129">
        <v>1925.9807549962991</v>
      </c>
      <c r="M271" s="129">
        <v>35.982117486597588</v>
      </c>
      <c r="N271" s="129">
        <v>19537.009622501853</v>
      </c>
      <c r="O271" s="129"/>
      <c r="P271" s="117">
        <v>28936</v>
      </c>
      <c r="Q271" s="161">
        <v>48035</v>
      </c>
      <c r="R271" s="161">
        <v>5</v>
      </c>
      <c r="S271" s="161">
        <v>-19094</v>
      </c>
      <c r="T271" s="124">
        <v>9846</v>
      </c>
      <c r="U271" s="124">
        <v>11540</v>
      </c>
      <c r="V271" s="136"/>
      <c r="X271" s="116">
        <v>-40</v>
      </c>
      <c r="Y271" s="116">
        <v>14</v>
      </c>
      <c r="Z271" s="161">
        <v>2266</v>
      </c>
      <c r="AA271" s="116">
        <v>2553</v>
      </c>
      <c r="AB271" s="117">
        <v>288</v>
      </c>
      <c r="AD271" s="161">
        <v>1</v>
      </c>
      <c r="AE271" s="117">
        <v>-4</v>
      </c>
      <c r="AF271" s="117">
        <v>-509</v>
      </c>
      <c r="AG271" s="116">
        <v>-1</v>
      </c>
      <c r="AH271" s="117">
        <v>-2</v>
      </c>
      <c r="AI271" s="160">
        <v>-515</v>
      </c>
      <c r="AJ271" s="161">
        <v>4134</v>
      </c>
      <c r="AK271" s="161">
        <v>1745</v>
      </c>
      <c r="AL271" s="150"/>
      <c r="AM271" s="161">
        <v>372</v>
      </c>
      <c r="AN271" s="161">
        <v>-2118</v>
      </c>
      <c r="AO271" s="160">
        <v>930</v>
      </c>
      <c r="AQ271" s="160"/>
      <c r="AR271" s="117"/>
      <c r="AS271" s="117"/>
      <c r="AT271" s="99">
        <v>20.5</v>
      </c>
      <c r="AU271" s="130"/>
      <c r="AV271" s="262">
        <v>43</v>
      </c>
      <c r="AW271" s="267">
        <v>2676</v>
      </c>
      <c r="AX271" s="124"/>
      <c r="AY271" s="255">
        <v>1.3392299687825182</v>
      </c>
      <c r="AZ271" s="259">
        <v>40.28144755641673</v>
      </c>
      <c r="BA271" s="160">
        <v>-4630.7922272047836</v>
      </c>
      <c r="BB271" s="130"/>
      <c r="BC271" s="130"/>
      <c r="BD271" s="130"/>
      <c r="BE271" s="128">
        <v>39.587757297771738</v>
      </c>
      <c r="BF271" s="160">
        <v>1688.7144992526157</v>
      </c>
      <c r="BG271" s="129">
        <v>33.972921249843502</v>
      </c>
      <c r="BH271" s="131">
        <v>20893.497757847534</v>
      </c>
      <c r="BI271" s="124"/>
      <c r="BJ271" s="117">
        <v>29290</v>
      </c>
      <c r="BK271" s="117">
        <v>48584</v>
      </c>
      <c r="BL271" s="161">
        <v>3</v>
      </c>
      <c r="BM271" s="161">
        <v>-19291</v>
      </c>
      <c r="BN271" s="117">
        <v>10248</v>
      </c>
      <c r="BO271" s="117">
        <v>11555</v>
      </c>
      <c r="BP271" s="136"/>
      <c r="BR271" s="160">
        <v>-61</v>
      </c>
      <c r="BS271" s="160">
        <v>6</v>
      </c>
      <c r="BT271" s="161">
        <v>2457</v>
      </c>
      <c r="BU271" s="125">
        <v>2228</v>
      </c>
      <c r="BV271" s="161">
        <v>0</v>
      </c>
      <c r="BX271" s="161">
        <v>229</v>
      </c>
      <c r="BY271" s="161">
        <v>-5</v>
      </c>
      <c r="BZ271" s="160">
        <v>27</v>
      </c>
      <c r="CA271" s="161">
        <v>2</v>
      </c>
      <c r="CB271" s="161">
        <v>-8</v>
      </c>
      <c r="CC271" s="160">
        <v>241</v>
      </c>
      <c r="CD271" s="160">
        <v>4272</v>
      </c>
      <c r="CE271" s="116">
        <v>2317</v>
      </c>
      <c r="CF271" s="150"/>
      <c r="CG271" s="160">
        <v>540</v>
      </c>
      <c r="CH271" s="160">
        <v>-1805</v>
      </c>
      <c r="CI271" s="159">
        <v>-2808</v>
      </c>
      <c r="CK271" s="124"/>
      <c r="CL271" s="161"/>
      <c r="CM271" s="124"/>
      <c r="CN271" s="265">
        <v>20.5</v>
      </c>
      <c r="CO271" s="130"/>
      <c r="CP271" s="116">
        <v>27</v>
      </c>
      <c r="CQ271" s="267">
        <v>2619</v>
      </c>
      <c r="CR271" s="124"/>
      <c r="CS271" s="268">
        <v>2.1055341055341055</v>
      </c>
      <c r="CT271" s="269">
        <v>46.254164683484056</v>
      </c>
      <c r="CU271" s="160">
        <v>-5469.6449026345936</v>
      </c>
      <c r="CV271" s="130"/>
      <c r="CW271" s="130"/>
      <c r="CX271" s="130"/>
      <c r="CY271" s="269">
        <v>37.430223535007137</v>
      </c>
      <c r="CZ271" s="125">
        <v>2450.935471554028</v>
      </c>
      <c r="DA271" s="125">
        <v>41.738994887143036</v>
      </c>
      <c r="DB271" s="273">
        <v>21432.989690721646</v>
      </c>
      <c r="DC271" s="124"/>
      <c r="DD271" s="117">
        <v>29644</v>
      </c>
      <c r="DE271" s="117">
        <v>49331</v>
      </c>
      <c r="DF271" s="117">
        <v>11</v>
      </c>
      <c r="DG271" s="117">
        <v>-19676</v>
      </c>
      <c r="DH271" s="117">
        <v>10031</v>
      </c>
      <c r="DI271" s="117">
        <v>12850</v>
      </c>
      <c r="DJ271" s="136"/>
      <c r="DL271" s="160">
        <v>-51</v>
      </c>
      <c r="DM271" s="160">
        <v>3</v>
      </c>
      <c r="DN271" s="161">
        <v>3157</v>
      </c>
      <c r="DO271" s="116">
        <v>2170</v>
      </c>
      <c r="DP271" s="161">
        <v>0</v>
      </c>
      <c r="DR271" s="161">
        <v>987</v>
      </c>
      <c r="DS271" s="117">
        <v>0</v>
      </c>
      <c r="DT271" s="116">
        <v>11</v>
      </c>
      <c r="DU271" s="117">
        <v>1</v>
      </c>
      <c r="DV271" s="117">
        <v>-1</v>
      </c>
      <c r="DW271" s="160">
        <v>996</v>
      </c>
      <c r="DX271" s="160">
        <v>5253</v>
      </c>
      <c r="DY271" s="116">
        <v>3037</v>
      </c>
      <c r="DZ271" s="150"/>
      <c r="EA271" s="116">
        <v>213</v>
      </c>
      <c r="EB271" s="116">
        <v>-1439</v>
      </c>
      <c r="EC271" s="159">
        <v>-1770</v>
      </c>
      <c r="EE271" s="125"/>
      <c r="EF271" s="161"/>
      <c r="EG271" s="124"/>
      <c r="EH271" s="253">
        <v>20.5</v>
      </c>
      <c r="EI271" s="130"/>
      <c r="EJ271" s="125">
        <v>73</v>
      </c>
      <c r="EK271" s="116"/>
      <c r="EL271" s="159"/>
      <c r="EN271" s="116"/>
      <c r="EO271" s="116"/>
      <c r="EP271" s="159"/>
      <c r="EQ271" s="159">
        <v>-2469</v>
      </c>
      <c r="ER271" s="116">
        <v>44</v>
      </c>
      <c r="ES271" s="116">
        <v>1610</v>
      </c>
      <c r="ET271" s="160">
        <v>-5370</v>
      </c>
      <c r="EU271" s="116">
        <v>48</v>
      </c>
      <c r="EV271" s="116">
        <v>197</v>
      </c>
      <c r="EW271" s="160">
        <v>-5207</v>
      </c>
      <c r="EX271" s="160">
        <v>266</v>
      </c>
      <c r="EY271" s="160">
        <v>134</v>
      </c>
      <c r="EZ271" s="116">
        <v>1384</v>
      </c>
      <c r="FA271" s="116">
        <v>-3</v>
      </c>
      <c r="FB271" s="116">
        <v>3304</v>
      </c>
      <c r="FC271" s="160">
        <v>-5</v>
      </c>
      <c r="FD271" s="116">
        <v>4404</v>
      </c>
      <c r="FE271" s="116">
        <v>7</v>
      </c>
      <c r="FF271" s="3">
        <v>12651</v>
      </c>
      <c r="FG271" s="3">
        <v>10954</v>
      </c>
      <c r="FH271" s="3">
        <v>1697</v>
      </c>
      <c r="FI271" s="3">
        <v>2014</v>
      </c>
      <c r="FJ271" s="125">
        <v>14140</v>
      </c>
      <c r="FK271" s="160">
        <v>12720</v>
      </c>
      <c r="FL271" s="125">
        <v>1420</v>
      </c>
      <c r="FM271" s="116">
        <v>1928</v>
      </c>
      <c r="FN271" s="125">
        <v>17112</v>
      </c>
      <c r="FO271" s="116">
        <v>15573</v>
      </c>
      <c r="FP271" s="116">
        <v>1539</v>
      </c>
      <c r="FQ271" s="116">
        <v>213</v>
      </c>
      <c r="FR271" s="153">
        <v>246</v>
      </c>
      <c r="FS271" s="153">
        <v>140</v>
      </c>
      <c r="FT271" s="276">
        <v>103</v>
      </c>
      <c r="FU271" s="3">
        <v>1291</v>
      </c>
      <c r="FV271" s="159">
        <v>1243</v>
      </c>
      <c r="FW271" s="170"/>
      <c r="FZ271" s="155"/>
      <c r="GA271" s="2"/>
      <c r="GD271" s="163"/>
      <c r="GE271" s="2"/>
      <c r="GF271" s="2"/>
    </row>
    <row r="272" spans="1:188" ht="14.5" x14ac:dyDescent="0.35">
      <c r="A272" s="72">
        <v>890</v>
      </c>
      <c r="B272" s="70" t="s">
        <v>263</v>
      </c>
      <c r="C272" s="158">
        <v>1232</v>
      </c>
      <c r="D272" s="171"/>
      <c r="E272" s="128">
        <v>2.0862308762169679</v>
      </c>
      <c r="F272" s="128">
        <v>55.160065111231688</v>
      </c>
      <c r="G272" s="129">
        <v>-4993.5064935064938</v>
      </c>
      <c r="H272" s="216"/>
      <c r="I272" s="172"/>
      <c r="J272" s="218"/>
      <c r="K272" s="128">
        <v>33.198924731182792</v>
      </c>
      <c r="L272" s="129">
        <v>2403.409090909091</v>
      </c>
      <c r="M272" s="129">
        <v>53.946540880503143</v>
      </c>
      <c r="N272" s="129">
        <v>16261.363636363636</v>
      </c>
      <c r="O272" s="129"/>
      <c r="P272" s="117">
        <v>6984</v>
      </c>
      <c r="Q272" s="161">
        <v>16933</v>
      </c>
      <c r="R272" s="161">
        <v>0</v>
      </c>
      <c r="S272" s="161">
        <v>-9949</v>
      </c>
      <c r="T272" s="124">
        <v>4550</v>
      </c>
      <c r="U272" s="124">
        <v>6896</v>
      </c>
      <c r="V272" s="136"/>
      <c r="X272" s="116">
        <v>-54</v>
      </c>
      <c r="Y272" s="116">
        <v>0</v>
      </c>
      <c r="Z272" s="161">
        <v>1443</v>
      </c>
      <c r="AA272" s="116">
        <v>757</v>
      </c>
      <c r="AB272" s="116">
        <v>2</v>
      </c>
      <c r="AD272" s="161">
        <v>688</v>
      </c>
      <c r="AE272" s="116">
        <v>1</v>
      </c>
      <c r="AF272" s="116">
        <v>28</v>
      </c>
      <c r="AG272" s="116">
        <v>0</v>
      </c>
      <c r="AH272" s="116">
        <v>0</v>
      </c>
      <c r="AI272" s="160">
        <v>717</v>
      </c>
      <c r="AJ272" s="161">
        <v>1810</v>
      </c>
      <c r="AK272" s="161">
        <v>1468</v>
      </c>
      <c r="AL272" s="150"/>
      <c r="AM272" s="161">
        <v>-146</v>
      </c>
      <c r="AN272" s="161">
        <v>-662</v>
      </c>
      <c r="AO272" s="160">
        <v>-398</v>
      </c>
      <c r="AQ272" s="160"/>
      <c r="AR272" s="117"/>
      <c r="AS272" s="117"/>
      <c r="AT272" s="99">
        <v>21</v>
      </c>
      <c r="AU272" s="130"/>
      <c r="AV272" s="262">
        <v>14</v>
      </c>
      <c r="AW272" s="267">
        <v>1212</v>
      </c>
      <c r="AX272" s="124"/>
      <c r="AY272" s="255">
        <v>1.115257048092869</v>
      </c>
      <c r="AZ272" s="259">
        <v>70.57784645951763</v>
      </c>
      <c r="BA272" s="160">
        <v>-5207.9207920792078</v>
      </c>
      <c r="BB272" s="130"/>
      <c r="BC272" s="130"/>
      <c r="BD272" s="130"/>
      <c r="BE272" s="128">
        <v>30.872093023255815</v>
      </c>
      <c r="BF272" s="160">
        <v>4182.3432343234317</v>
      </c>
      <c r="BG272" s="129">
        <v>51.362275449101794</v>
      </c>
      <c r="BH272" s="131">
        <v>17361.386138613863</v>
      </c>
      <c r="BI272" s="124"/>
      <c r="BJ272" s="117">
        <v>6336</v>
      </c>
      <c r="BK272" s="117">
        <v>16782</v>
      </c>
      <c r="BL272" s="161">
        <v>0</v>
      </c>
      <c r="BM272" s="161">
        <v>-10446</v>
      </c>
      <c r="BN272" s="117">
        <v>4514</v>
      </c>
      <c r="BO272" s="117">
        <v>7269</v>
      </c>
      <c r="BP272" s="136"/>
      <c r="BR272" s="160">
        <v>-57</v>
      </c>
      <c r="BS272" s="160">
        <v>6</v>
      </c>
      <c r="BT272" s="161">
        <v>1286</v>
      </c>
      <c r="BU272" s="125">
        <v>848</v>
      </c>
      <c r="BV272" s="160">
        <v>271</v>
      </c>
      <c r="BX272" s="161">
        <v>709</v>
      </c>
      <c r="BY272" s="160">
        <v>1</v>
      </c>
      <c r="BZ272" s="160">
        <v>0</v>
      </c>
      <c r="CA272" s="160">
        <v>0</v>
      </c>
      <c r="CB272" s="160">
        <v>0</v>
      </c>
      <c r="CC272" s="160">
        <v>710</v>
      </c>
      <c r="CD272" s="160">
        <v>2560</v>
      </c>
      <c r="CE272" s="116">
        <v>1557</v>
      </c>
      <c r="CF272" s="150"/>
      <c r="CG272" s="160">
        <v>-354</v>
      </c>
      <c r="CH272" s="160">
        <v>-1147</v>
      </c>
      <c r="CI272" s="159">
        <v>-1471</v>
      </c>
      <c r="CK272" s="124"/>
      <c r="CL272" s="161"/>
      <c r="CM272" s="124"/>
      <c r="CN272" s="265">
        <v>21</v>
      </c>
      <c r="CO272" s="130"/>
      <c r="CP272" s="116">
        <v>15</v>
      </c>
      <c r="CQ272" s="267">
        <v>1219</v>
      </c>
      <c r="CR272" s="124"/>
      <c r="CS272" s="268">
        <v>1.2420689655172414</v>
      </c>
      <c r="CT272" s="269">
        <v>87.496058025859355</v>
      </c>
      <c r="CU272" s="160">
        <v>-9324.0360951599669</v>
      </c>
      <c r="CV272" s="130"/>
      <c r="CW272" s="130"/>
      <c r="CX272" s="130"/>
      <c r="CY272" s="269">
        <v>28.425106869259746</v>
      </c>
      <c r="CZ272" s="125">
        <v>3401.9688269073008</v>
      </c>
      <c r="DA272" s="125">
        <v>59.198834526184058</v>
      </c>
      <c r="DB272" s="273">
        <v>20975.389663658734</v>
      </c>
      <c r="DC272" s="124"/>
      <c r="DD272" s="117">
        <v>6563</v>
      </c>
      <c r="DE272" s="117">
        <v>17227</v>
      </c>
      <c r="DF272" s="117">
        <v>0</v>
      </c>
      <c r="DG272" s="117">
        <v>-10664</v>
      </c>
      <c r="DH272" s="117">
        <v>4748</v>
      </c>
      <c r="DI272" s="117">
        <v>7715</v>
      </c>
      <c r="DJ272" s="136"/>
      <c r="DL272" s="160">
        <v>-89</v>
      </c>
      <c r="DM272" s="160">
        <v>0</v>
      </c>
      <c r="DN272" s="161">
        <v>1710</v>
      </c>
      <c r="DO272" s="116">
        <v>844</v>
      </c>
      <c r="DP272" s="160">
        <v>0</v>
      </c>
      <c r="DR272" s="161">
        <v>866</v>
      </c>
      <c r="DS272" s="116">
        <v>-1</v>
      </c>
      <c r="DT272" s="116">
        <v>0</v>
      </c>
      <c r="DU272" s="116">
        <v>26</v>
      </c>
      <c r="DV272" s="116">
        <v>-12</v>
      </c>
      <c r="DW272" s="160">
        <v>827</v>
      </c>
      <c r="DX272" s="160">
        <v>3430</v>
      </c>
      <c r="DY272" s="116">
        <v>1658</v>
      </c>
      <c r="DZ272" s="150"/>
      <c r="EA272" s="116">
        <v>273</v>
      </c>
      <c r="EB272" s="116">
        <v>-1359</v>
      </c>
      <c r="EC272" s="159">
        <v>-5135</v>
      </c>
      <c r="EE272" s="125"/>
      <c r="EF272" s="161"/>
      <c r="EG272" s="124"/>
      <c r="EH272" s="253">
        <v>21</v>
      </c>
      <c r="EI272" s="130"/>
      <c r="EJ272" s="125">
        <v>35</v>
      </c>
      <c r="EK272" s="116"/>
      <c r="EL272" s="159"/>
      <c r="EN272" s="116"/>
      <c r="EO272" s="116"/>
      <c r="EP272" s="159"/>
      <c r="EQ272" s="159">
        <v>-1876</v>
      </c>
      <c r="ER272" s="116">
        <v>7</v>
      </c>
      <c r="ES272" s="116">
        <v>3</v>
      </c>
      <c r="ET272" s="160">
        <v>-3045</v>
      </c>
      <c r="EU272" s="116">
        <v>10</v>
      </c>
      <c r="EV272" s="116">
        <v>7</v>
      </c>
      <c r="EW272" s="160">
        <v>-6879</v>
      </c>
      <c r="EX272" s="160">
        <v>22</v>
      </c>
      <c r="EY272" s="160">
        <v>64</v>
      </c>
      <c r="EZ272" s="116">
        <v>925</v>
      </c>
      <c r="FA272" s="116">
        <v>133</v>
      </c>
      <c r="FB272" s="116">
        <v>5157</v>
      </c>
      <c r="FC272" s="160">
        <v>17</v>
      </c>
      <c r="FD272" s="116">
        <v>5323</v>
      </c>
      <c r="FE272" s="116">
        <v>7</v>
      </c>
      <c r="FF272" s="3">
        <v>7783</v>
      </c>
      <c r="FG272" s="3">
        <v>6822</v>
      </c>
      <c r="FH272" s="3">
        <v>961</v>
      </c>
      <c r="FI272" s="3">
        <v>1504</v>
      </c>
      <c r="FJ272" s="125">
        <v>10479</v>
      </c>
      <c r="FK272" s="160">
        <v>9047</v>
      </c>
      <c r="FL272" s="125">
        <v>1432</v>
      </c>
      <c r="FM272" s="116">
        <v>145</v>
      </c>
      <c r="FN272" s="125">
        <v>14450</v>
      </c>
      <c r="FO272" s="116">
        <v>13019</v>
      </c>
      <c r="FP272" s="116">
        <v>1431</v>
      </c>
      <c r="FQ272" s="116">
        <v>273</v>
      </c>
      <c r="FR272" s="153">
        <v>254</v>
      </c>
      <c r="FS272" s="153">
        <v>1</v>
      </c>
      <c r="FT272" s="276">
        <v>0</v>
      </c>
      <c r="FU272" s="3">
        <v>127</v>
      </c>
      <c r="FV272" s="159">
        <v>174</v>
      </c>
      <c r="FW272" s="170"/>
      <c r="FZ272" s="155"/>
      <c r="GA272" s="2"/>
      <c r="GD272" s="163"/>
      <c r="GE272" s="2"/>
      <c r="GF272" s="2"/>
    </row>
    <row r="273" spans="1:188" ht="14.5" x14ac:dyDescent="0.35">
      <c r="A273" s="72">
        <v>892</v>
      </c>
      <c r="B273" s="70" t="s">
        <v>264</v>
      </c>
      <c r="C273" s="158">
        <v>3783</v>
      </c>
      <c r="D273" s="171"/>
      <c r="E273" s="128">
        <v>7.613988490482515E-2</v>
      </c>
      <c r="F273" s="128">
        <v>100.50423557886245</v>
      </c>
      <c r="G273" s="129">
        <v>-6122.9183187946073</v>
      </c>
      <c r="H273" s="216"/>
      <c r="I273" s="172"/>
      <c r="J273" s="218"/>
      <c r="K273" s="128">
        <v>32.76455785616529</v>
      </c>
      <c r="L273" s="129">
        <v>1192.1755220724292</v>
      </c>
      <c r="M273" s="129">
        <v>44.105511346890658</v>
      </c>
      <c r="N273" s="129">
        <v>9865.9793814432996</v>
      </c>
      <c r="O273" s="129"/>
      <c r="P273" s="117">
        <v>8286</v>
      </c>
      <c r="Q273" s="161">
        <v>29453</v>
      </c>
      <c r="R273" s="161">
        <v>1</v>
      </c>
      <c r="S273" s="161">
        <v>-21166</v>
      </c>
      <c r="T273" s="124">
        <v>10656</v>
      </c>
      <c r="U273" s="124">
        <v>10806</v>
      </c>
      <c r="V273" s="136"/>
      <c r="X273" s="116">
        <v>-151</v>
      </c>
      <c r="Y273" s="116">
        <v>42</v>
      </c>
      <c r="Z273" s="161">
        <v>187</v>
      </c>
      <c r="AA273" s="116">
        <v>1927</v>
      </c>
      <c r="AB273" s="116">
        <v>0</v>
      </c>
      <c r="AD273" s="161">
        <v>-1740</v>
      </c>
      <c r="AE273" s="116">
        <v>5</v>
      </c>
      <c r="AF273" s="116">
        <v>0</v>
      </c>
      <c r="AG273" s="116">
        <v>0</v>
      </c>
      <c r="AH273" s="116">
        <v>0</v>
      </c>
      <c r="AI273" s="160">
        <v>-1735</v>
      </c>
      <c r="AJ273" s="161">
        <v>3348</v>
      </c>
      <c r="AK273" s="161">
        <v>130</v>
      </c>
      <c r="AL273" s="150"/>
      <c r="AM273" s="161">
        <v>509</v>
      </c>
      <c r="AN273" s="161">
        <v>-4361</v>
      </c>
      <c r="AO273" s="160">
        <v>-2653</v>
      </c>
      <c r="AQ273" s="160"/>
      <c r="AR273" s="117"/>
      <c r="AS273" s="117"/>
      <c r="AT273" s="99">
        <v>20.5</v>
      </c>
      <c r="AU273" s="130"/>
      <c r="AV273" s="262">
        <v>280</v>
      </c>
      <c r="AW273" s="267">
        <v>3681</v>
      </c>
      <c r="AX273" s="124"/>
      <c r="AY273" s="255">
        <v>0.58178256611165524</v>
      </c>
      <c r="AZ273" s="259">
        <v>102.94528332521513</v>
      </c>
      <c r="BA273" s="160">
        <v>-6884.5422439554468</v>
      </c>
      <c r="BB273" s="130"/>
      <c r="BC273" s="130"/>
      <c r="BD273" s="130"/>
      <c r="BE273" s="128">
        <v>29.71051183269125</v>
      </c>
      <c r="BF273" s="160">
        <v>1355.8815539255638</v>
      </c>
      <c r="BG273" s="129">
        <v>48.130226302555407</v>
      </c>
      <c r="BH273" s="131">
        <v>9291.496875848954</v>
      </c>
      <c r="BI273" s="124"/>
      <c r="BJ273" s="117">
        <v>8441</v>
      </c>
      <c r="BK273" s="117">
        <v>30481</v>
      </c>
      <c r="BL273" s="161">
        <v>-35</v>
      </c>
      <c r="BM273" s="161">
        <v>-22075</v>
      </c>
      <c r="BN273" s="117">
        <v>11356</v>
      </c>
      <c r="BO273" s="117">
        <v>10998</v>
      </c>
      <c r="BP273" s="136"/>
      <c r="BR273" s="160">
        <v>-156</v>
      </c>
      <c r="BS273" s="160">
        <v>306</v>
      </c>
      <c r="BT273" s="161">
        <v>429</v>
      </c>
      <c r="BU273" s="125">
        <v>2105</v>
      </c>
      <c r="BV273" s="160">
        <v>0</v>
      </c>
      <c r="BX273" s="161">
        <v>-1676</v>
      </c>
      <c r="BY273" s="160">
        <v>10</v>
      </c>
      <c r="BZ273" s="160">
        <v>0</v>
      </c>
      <c r="CA273" s="160">
        <v>0</v>
      </c>
      <c r="CB273" s="160">
        <v>-3</v>
      </c>
      <c r="CC273" s="160">
        <v>-1669</v>
      </c>
      <c r="CD273" s="160">
        <v>1682</v>
      </c>
      <c r="CE273" s="116">
        <v>463</v>
      </c>
      <c r="CF273" s="150"/>
      <c r="CG273" s="161">
        <v>887</v>
      </c>
      <c r="CH273" s="160">
        <v>-856</v>
      </c>
      <c r="CI273" s="159">
        <v>-2094</v>
      </c>
      <c r="CK273" s="124"/>
      <c r="CL273" s="161"/>
      <c r="CM273" s="124"/>
      <c r="CN273" s="265">
        <v>21.5</v>
      </c>
      <c r="CO273" s="130"/>
      <c r="CP273" s="116">
        <v>256</v>
      </c>
      <c r="CQ273" s="267">
        <v>3646</v>
      </c>
      <c r="CR273" s="124"/>
      <c r="CS273" s="268">
        <v>0.83756756756756756</v>
      </c>
      <c r="CT273" s="269">
        <v>98.339906447766666</v>
      </c>
      <c r="CU273" s="160">
        <v>-6600.9325287986831</v>
      </c>
      <c r="CV273" s="130"/>
      <c r="CW273" s="130"/>
      <c r="CX273" s="130"/>
      <c r="CY273" s="269">
        <v>30.175756009304731</v>
      </c>
      <c r="CZ273" s="125">
        <v>1912.2325836533187</v>
      </c>
      <c r="DA273" s="125">
        <v>72.175960065800666</v>
      </c>
      <c r="DB273" s="273">
        <v>9670.3236423477774</v>
      </c>
      <c r="DC273" s="124"/>
      <c r="DD273" s="117">
        <v>8117</v>
      </c>
      <c r="DE273" s="117">
        <v>29681</v>
      </c>
      <c r="DF273" s="117">
        <v>0</v>
      </c>
      <c r="DG273" s="117">
        <v>-21564</v>
      </c>
      <c r="DH273" s="117">
        <v>11533</v>
      </c>
      <c r="DI273" s="117">
        <v>13059</v>
      </c>
      <c r="DJ273" s="136"/>
      <c r="DL273" s="160">
        <v>-179</v>
      </c>
      <c r="DM273" s="160">
        <v>65</v>
      </c>
      <c r="DN273" s="161">
        <v>2914</v>
      </c>
      <c r="DO273" s="116">
        <v>2379</v>
      </c>
      <c r="DP273" s="160">
        <v>0</v>
      </c>
      <c r="DR273" s="161">
        <v>535</v>
      </c>
      <c r="DS273" s="116">
        <v>7</v>
      </c>
      <c r="DT273" s="116">
        <v>-1</v>
      </c>
      <c r="DU273" s="116">
        <v>0</v>
      </c>
      <c r="DV273" s="116">
        <v>-10</v>
      </c>
      <c r="DW273" s="160">
        <v>531</v>
      </c>
      <c r="DX273" s="160">
        <v>2208</v>
      </c>
      <c r="DY273" s="116">
        <v>2852</v>
      </c>
      <c r="DZ273" s="150"/>
      <c r="EA273" s="117">
        <v>245</v>
      </c>
      <c r="EB273" s="116">
        <v>-3515</v>
      </c>
      <c r="EC273" s="159">
        <v>1323</v>
      </c>
      <c r="EE273" s="125"/>
      <c r="EF273" s="161"/>
      <c r="EG273" s="124"/>
      <c r="EH273" s="253">
        <v>21.5</v>
      </c>
      <c r="EI273" s="130"/>
      <c r="EJ273" s="125">
        <v>222</v>
      </c>
      <c r="EK273" s="116"/>
      <c r="EL273" s="159"/>
      <c r="EN273" s="116"/>
      <c r="EO273" s="116"/>
      <c r="EP273" s="159"/>
      <c r="EQ273" s="159">
        <v>-2971</v>
      </c>
      <c r="ER273" s="116">
        <v>39</v>
      </c>
      <c r="ES273" s="116">
        <v>149</v>
      </c>
      <c r="ET273" s="160">
        <v>-2589</v>
      </c>
      <c r="EU273" s="116">
        <v>3</v>
      </c>
      <c r="EV273" s="116">
        <v>29</v>
      </c>
      <c r="EW273" s="160">
        <v>-1774</v>
      </c>
      <c r="EX273" s="160">
        <v>0</v>
      </c>
      <c r="EY273" s="160">
        <v>245</v>
      </c>
      <c r="EZ273" s="116">
        <v>5130</v>
      </c>
      <c r="FA273" s="116">
        <v>1067</v>
      </c>
      <c r="FB273" s="116">
        <v>2895</v>
      </c>
      <c r="FC273" s="160">
        <v>956</v>
      </c>
      <c r="FD273" s="116">
        <v>2850</v>
      </c>
      <c r="FE273" s="116">
        <v>1011</v>
      </c>
      <c r="FF273" s="3">
        <v>24440</v>
      </c>
      <c r="FG273" s="3">
        <v>22517</v>
      </c>
      <c r="FH273" s="3">
        <v>1923</v>
      </c>
      <c r="FI273" s="3">
        <v>200</v>
      </c>
      <c r="FJ273" s="125">
        <v>27435</v>
      </c>
      <c r="FK273" s="160">
        <v>21915</v>
      </c>
      <c r="FL273" s="125">
        <v>5520</v>
      </c>
      <c r="FM273" s="116">
        <v>295</v>
      </c>
      <c r="FN273" s="125">
        <v>27780</v>
      </c>
      <c r="FO273" s="116">
        <v>20184</v>
      </c>
      <c r="FP273" s="116">
        <v>7596</v>
      </c>
      <c r="FQ273" s="116">
        <v>245</v>
      </c>
      <c r="FR273" s="153">
        <v>3765</v>
      </c>
      <c r="FS273" s="153">
        <v>1222</v>
      </c>
      <c r="FT273" s="276">
        <v>1069</v>
      </c>
      <c r="FU273" s="3">
        <v>1077</v>
      </c>
      <c r="FV273" s="159">
        <v>994</v>
      </c>
      <c r="FW273" s="170"/>
      <c r="FZ273" s="155"/>
      <c r="GA273" s="2"/>
      <c r="GD273" s="163"/>
      <c r="GE273" s="2"/>
      <c r="GF273" s="2"/>
    </row>
    <row r="274" spans="1:188" ht="14.5" x14ac:dyDescent="0.35">
      <c r="A274" s="72">
        <v>893</v>
      </c>
      <c r="B274" s="70" t="s">
        <v>265</v>
      </c>
      <c r="C274" s="158">
        <v>7455</v>
      </c>
      <c r="D274" s="171"/>
      <c r="E274" s="128">
        <v>0.49721984602224123</v>
      </c>
      <c r="F274" s="128">
        <v>102.43464491227078</v>
      </c>
      <c r="G274" s="129">
        <v>-8515.761234071093</v>
      </c>
      <c r="H274" s="216"/>
      <c r="I274" s="172"/>
      <c r="J274" s="218"/>
      <c r="K274" s="128">
        <v>33.795556518520527</v>
      </c>
      <c r="L274" s="129">
        <v>501.94500335345407</v>
      </c>
      <c r="M274" s="129">
        <v>15.443577566711896</v>
      </c>
      <c r="N274" s="129">
        <v>11863.17907444668</v>
      </c>
      <c r="O274" s="129"/>
      <c r="P274" s="117">
        <v>27121</v>
      </c>
      <c r="Q274" s="161">
        <v>68911</v>
      </c>
      <c r="R274" s="161">
        <v>63</v>
      </c>
      <c r="S274" s="161">
        <v>-41727</v>
      </c>
      <c r="T274" s="124">
        <v>26305</v>
      </c>
      <c r="U274" s="124">
        <v>17303</v>
      </c>
      <c r="V274" s="136"/>
      <c r="X274" s="116">
        <v>-323</v>
      </c>
      <c r="Y274" s="116">
        <v>427</v>
      </c>
      <c r="Z274" s="161">
        <v>1985</v>
      </c>
      <c r="AA274" s="116">
        <v>4626</v>
      </c>
      <c r="AB274" s="116">
        <v>0</v>
      </c>
      <c r="AD274" s="161">
        <v>-2641</v>
      </c>
      <c r="AE274" s="117">
        <v>7</v>
      </c>
      <c r="AF274" s="117">
        <v>16</v>
      </c>
      <c r="AG274" s="116">
        <v>-3</v>
      </c>
      <c r="AH274" s="116">
        <v>10</v>
      </c>
      <c r="AI274" s="160">
        <v>-2611</v>
      </c>
      <c r="AJ274" s="161">
        <v>9202</v>
      </c>
      <c r="AK274" s="161">
        <v>1877</v>
      </c>
      <c r="AL274" s="150"/>
      <c r="AM274" s="161">
        <v>47</v>
      </c>
      <c r="AN274" s="161">
        <v>-4336</v>
      </c>
      <c r="AO274" s="160">
        <v>-10079</v>
      </c>
      <c r="AQ274" s="160"/>
      <c r="AR274" s="117"/>
      <c r="AS274" s="117"/>
      <c r="AT274" s="99">
        <v>21.25</v>
      </c>
      <c r="AU274" s="130"/>
      <c r="AV274" s="262">
        <v>234</v>
      </c>
      <c r="AW274" s="267">
        <v>7464</v>
      </c>
      <c r="AX274" s="124"/>
      <c r="AY274" s="255">
        <v>0.75480450629555995</v>
      </c>
      <c r="AZ274" s="259">
        <v>111.49592391304348</v>
      </c>
      <c r="BA274" s="160">
        <v>-9712.2186495176848</v>
      </c>
      <c r="BB274" s="130"/>
      <c r="BC274" s="130"/>
      <c r="BD274" s="130"/>
      <c r="BE274" s="128">
        <v>30.340297203531495</v>
      </c>
      <c r="BF274" s="160">
        <v>446.54340836012864</v>
      </c>
      <c r="BG274" s="129">
        <v>15.416384486884283</v>
      </c>
      <c r="BH274" s="131">
        <v>11869.774919614149</v>
      </c>
      <c r="BI274" s="124"/>
      <c r="BJ274" s="117">
        <v>27657</v>
      </c>
      <c r="BK274" s="117">
        <v>70675</v>
      </c>
      <c r="BL274" s="161">
        <v>47</v>
      </c>
      <c r="BM274" s="161">
        <v>-42971</v>
      </c>
      <c r="BN274" s="117">
        <v>27062</v>
      </c>
      <c r="BO274" s="117">
        <v>18881</v>
      </c>
      <c r="BP274" s="136"/>
      <c r="BR274" s="160">
        <v>-311</v>
      </c>
      <c r="BS274" s="160">
        <v>423</v>
      </c>
      <c r="BT274" s="161">
        <v>3084</v>
      </c>
      <c r="BU274" s="125">
        <v>4387</v>
      </c>
      <c r="BV274" s="160">
        <v>0</v>
      </c>
      <c r="BX274" s="161">
        <v>-1303</v>
      </c>
      <c r="BY274" s="161">
        <v>-2</v>
      </c>
      <c r="BZ274" s="160">
        <v>-70</v>
      </c>
      <c r="CA274" s="160">
        <v>3</v>
      </c>
      <c r="CB274" s="160">
        <v>43</v>
      </c>
      <c r="CC274" s="160">
        <v>-1335</v>
      </c>
      <c r="CD274" s="160">
        <v>7860</v>
      </c>
      <c r="CE274" s="116">
        <v>3161</v>
      </c>
      <c r="CF274" s="150"/>
      <c r="CG274" s="160">
        <v>-1013</v>
      </c>
      <c r="CH274" s="160">
        <v>-4194</v>
      </c>
      <c r="CI274" s="159">
        <v>-9434</v>
      </c>
      <c r="CK274" s="124"/>
      <c r="CL274" s="161"/>
      <c r="CM274" s="124"/>
      <c r="CN274" s="265">
        <v>21.25</v>
      </c>
      <c r="CO274" s="130"/>
      <c r="CP274" s="116">
        <v>157</v>
      </c>
      <c r="CQ274" s="267">
        <v>7479</v>
      </c>
      <c r="CR274" s="124"/>
      <c r="CS274" s="268">
        <v>1.5660768072289157</v>
      </c>
      <c r="CT274" s="269">
        <v>106.47390339065436</v>
      </c>
      <c r="CU274" s="160">
        <v>-9420.5107634710512</v>
      </c>
      <c r="CV274" s="130"/>
      <c r="CW274" s="130"/>
      <c r="CX274" s="130"/>
      <c r="CY274" s="269">
        <v>32.40402306911659</v>
      </c>
      <c r="CZ274" s="125">
        <v>742.34523331996263</v>
      </c>
      <c r="DA274" s="125">
        <v>25.110654011053011</v>
      </c>
      <c r="DB274" s="273">
        <v>10790.480010696618</v>
      </c>
      <c r="DC274" s="124"/>
      <c r="DD274" s="117">
        <v>26374</v>
      </c>
      <c r="DE274" s="117">
        <v>68310</v>
      </c>
      <c r="DF274" s="117">
        <v>51</v>
      </c>
      <c r="DG274" s="117">
        <v>-41885</v>
      </c>
      <c r="DH274" s="117">
        <v>27551</v>
      </c>
      <c r="DI274" s="117">
        <v>22196</v>
      </c>
      <c r="DJ274" s="136"/>
      <c r="DL274" s="160">
        <v>-288</v>
      </c>
      <c r="DM274" s="160">
        <v>426</v>
      </c>
      <c r="DN274" s="161">
        <v>8000</v>
      </c>
      <c r="DO274" s="116">
        <v>5492</v>
      </c>
      <c r="DP274" s="160">
        <v>54</v>
      </c>
      <c r="DR274" s="161">
        <v>2562</v>
      </c>
      <c r="DS274" s="117">
        <v>7</v>
      </c>
      <c r="DT274" s="116">
        <v>10</v>
      </c>
      <c r="DU274" s="116">
        <v>-1</v>
      </c>
      <c r="DV274" s="116">
        <v>119</v>
      </c>
      <c r="DW274" s="160">
        <v>2699</v>
      </c>
      <c r="DX274" s="160">
        <v>11073</v>
      </c>
      <c r="DY274" s="116">
        <v>8130</v>
      </c>
      <c r="DZ274" s="150"/>
      <c r="EA274" s="116">
        <v>1587</v>
      </c>
      <c r="EB274" s="116">
        <v>-4993</v>
      </c>
      <c r="EC274" s="159">
        <v>1235</v>
      </c>
      <c r="EE274" s="125"/>
      <c r="EF274" s="161"/>
      <c r="EG274" s="124"/>
      <c r="EH274" s="253">
        <v>21.25</v>
      </c>
      <c r="EI274" s="130"/>
      <c r="EJ274" s="125">
        <v>110</v>
      </c>
      <c r="EK274" s="116"/>
      <c r="EL274" s="159"/>
      <c r="EN274" s="116"/>
      <c r="EO274" s="116"/>
      <c r="EP274" s="159"/>
      <c r="EQ274" s="159">
        <v>-14833</v>
      </c>
      <c r="ER274" s="116">
        <v>2757</v>
      </c>
      <c r="ES274" s="116">
        <v>120</v>
      </c>
      <c r="ET274" s="160">
        <v>-13365</v>
      </c>
      <c r="EU274" s="116">
        <v>721</v>
      </c>
      <c r="EV274" s="116">
        <v>49</v>
      </c>
      <c r="EW274" s="160">
        <v>-7062</v>
      </c>
      <c r="EX274" s="160">
        <v>146</v>
      </c>
      <c r="EY274" s="160">
        <v>21</v>
      </c>
      <c r="EZ274" s="116">
        <v>10039</v>
      </c>
      <c r="FA274" s="116">
        <v>192</v>
      </c>
      <c r="FB274" s="116">
        <v>6740</v>
      </c>
      <c r="FC274" s="160">
        <v>8698</v>
      </c>
      <c r="FD274" s="116">
        <v>5885</v>
      </c>
      <c r="FE274" s="116">
        <v>-2590</v>
      </c>
      <c r="FF274" s="3">
        <v>52598</v>
      </c>
      <c r="FG274" s="3">
        <v>30996</v>
      </c>
      <c r="FH274" s="3">
        <v>21602</v>
      </c>
      <c r="FI274" s="3">
        <v>198</v>
      </c>
      <c r="FJ274" s="125">
        <v>63842</v>
      </c>
      <c r="FK274" s="160">
        <v>32993</v>
      </c>
      <c r="FL274" s="125">
        <v>30849</v>
      </c>
      <c r="FM274" s="116">
        <v>198</v>
      </c>
      <c r="FN274" s="125">
        <v>62144</v>
      </c>
      <c r="FO274" s="116">
        <v>33605</v>
      </c>
      <c r="FP274" s="116">
        <v>28539</v>
      </c>
      <c r="FQ274" s="116">
        <v>1587</v>
      </c>
      <c r="FR274" s="153">
        <v>1276</v>
      </c>
      <c r="FS274" s="153">
        <v>1134</v>
      </c>
      <c r="FT274" s="276">
        <v>1091</v>
      </c>
      <c r="FU274" s="3">
        <v>2609</v>
      </c>
      <c r="FV274" s="159">
        <v>1876</v>
      </c>
      <c r="FW274" s="170"/>
      <c r="FZ274" s="155"/>
      <c r="GA274" s="2"/>
      <c r="GD274" s="163"/>
      <c r="GE274" s="2"/>
      <c r="GF274" s="2"/>
    </row>
    <row r="275" spans="1:188" ht="14.5" x14ac:dyDescent="0.35">
      <c r="A275" s="72">
        <v>895</v>
      </c>
      <c r="B275" s="70" t="s">
        <v>266</v>
      </c>
      <c r="C275" s="158">
        <v>15700</v>
      </c>
      <c r="D275" s="171"/>
      <c r="E275" s="128">
        <v>1.5363636363636364</v>
      </c>
      <c r="F275" s="128">
        <v>56.417280050191017</v>
      </c>
      <c r="G275" s="129">
        <v>-4491.4012738853507</v>
      </c>
      <c r="H275" s="216"/>
      <c r="I275" s="172"/>
      <c r="J275" s="218"/>
      <c r="K275" s="128">
        <v>48.289504753919033</v>
      </c>
      <c r="L275" s="129">
        <v>1184.7133757961783</v>
      </c>
      <c r="M275" s="129">
        <v>34.912961867784318</v>
      </c>
      <c r="N275" s="129">
        <v>12385.668789808919</v>
      </c>
      <c r="O275" s="129"/>
      <c r="P275" s="117">
        <v>85630</v>
      </c>
      <c r="Q275" s="161">
        <v>162969</v>
      </c>
      <c r="R275" s="161">
        <v>0</v>
      </c>
      <c r="S275" s="161">
        <v>-77339</v>
      </c>
      <c r="T275" s="124">
        <v>64209</v>
      </c>
      <c r="U275" s="124">
        <v>28679</v>
      </c>
      <c r="V275" s="136"/>
      <c r="X275" s="116">
        <v>-407</v>
      </c>
      <c r="Y275" s="116">
        <v>-423</v>
      </c>
      <c r="Z275" s="161">
        <v>14719</v>
      </c>
      <c r="AA275" s="116">
        <v>11381</v>
      </c>
      <c r="AB275" s="116">
        <v>1001</v>
      </c>
      <c r="AD275" s="161">
        <v>4339</v>
      </c>
      <c r="AE275" s="117">
        <v>-107</v>
      </c>
      <c r="AF275" s="117">
        <v>729</v>
      </c>
      <c r="AG275" s="116">
        <v>0</v>
      </c>
      <c r="AH275" s="116">
        <v>-183</v>
      </c>
      <c r="AI275" s="160">
        <v>4778</v>
      </c>
      <c r="AJ275" s="161">
        <v>28130</v>
      </c>
      <c r="AK275" s="161">
        <v>14948</v>
      </c>
      <c r="AL275" s="150"/>
      <c r="AM275" s="161">
        <v>-558</v>
      </c>
      <c r="AN275" s="161">
        <v>-9291</v>
      </c>
      <c r="AO275" s="160">
        <v>-2367</v>
      </c>
      <c r="AQ275" s="160"/>
      <c r="AR275" s="117"/>
      <c r="AS275" s="117"/>
      <c r="AT275" s="99">
        <v>20.75</v>
      </c>
      <c r="AU275" s="130"/>
      <c r="AV275" s="262">
        <v>29</v>
      </c>
      <c r="AW275" s="267">
        <v>15522</v>
      </c>
      <c r="AX275" s="124"/>
      <c r="AY275" s="255">
        <v>1.3031566408576534</v>
      </c>
      <c r="AZ275" s="259">
        <v>53.969748001770547</v>
      </c>
      <c r="BA275" s="160">
        <v>-4932.0319546450201</v>
      </c>
      <c r="BB275" s="130"/>
      <c r="BC275" s="130"/>
      <c r="BD275" s="130"/>
      <c r="BE275" s="128">
        <v>47.009865828530188</v>
      </c>
      <c r="BF275" s="160">
        <v>1105.6564875660354</v>
      </c>
      <c r="BG275" s="129">
        <v>31.792191736558916</v>
      </c>
      <c r="BH275" s="131">
        <v>13757.4410514109</v>
      </c>
      <c r="BI275" s="124"/>
      <c r="BJ275" s="117">
        <v>104249</v>
      </c>
      <c r="BK275" s="117">
        <v>186507</v>
      </c>
      <c r="BL275" s="161">
        <v>48</v>
      </c>
      <c r="BM275" s="161">
        <v>-82210</v>
      </c>
      <c r="BN275" s="117">
        <v>64499</v>
      </c>
      <c r="BO275" s="117">
        <v>27801</v>
      </c>
      <c r="BP275" s="136"/>
      <c r="BR275" s="160">
        <v>-685</v>
      </c>
      <c r="BS275" s="160">
        <v>713</v>
      </c>
      <c r="BT275" s="161">
        <v>10118</v>
      </c>
      <c r="BU275" s="125">
        <v>12021</v>
      </c>
      <c r="BV275" s="160">
        <v>0</v>
      </c>
      <c r="BX275" s="161">
        <v>-1903</v>
      </c>
      <c r="BY275" s="161">
        <v>-75</v>
      </c>
      <c r="BZ275" s="160">
        <v>-203</v>
      </c>
      <c r="CA275" s="160">
        <v>0</v>
      </c>
      <c r="CB275" s="160">
        <v>-30</v>
      </c>
      <c r="CC275" s="160">
        <v>-2211</v>
      </c>
      <c r="CD275" s="160">
        <v>25979</v>
      </c>
      <c r="CE275" s="116">
        <v>8986</v>
      </c>
      <c r="CF275" s="150"/>
      <c r="CG275" s="160">
        <v>-760</v>
      </c>
      <c r="CH275" s="160">
        <v>-7573</v>
      </c>
      <c r="CI275" s="159">
        <v>-7494</v>
      </c>
      <c r="CK275" s="124"/>
      <c r="CL275" s="161"/>
      <c r="CM275" s="124"/>
      <c r="CN275" s="265">
        <v>20.75</v>
      </c>
      <c r="CO275" s="130"/>
      <c r="CP275" s="116">
        <v>71</v>
      </c>
      <c r="CQ275" s="267">
        <v>15378</v>
      </c>
      <c r="CR275" s="124"/>
      <c r="CS275" s="268">
        <v>2.607201724356536</v>
      </c>
      <c r="CT275" s="269">
        <v>54.074477863998801</v>
      </c>
      <c r="CU275" s="160">
        <v>-4730.9142931460528</v>
      </c>
      <c r="CV275" s="130"/>
      <c r="CW275" s="130"/>
      <c r="CX275" s="130"/>
      <c r="CY275" s="269">
        <v>49.753326780583699</v>
      </c>
      <c r="CZ275" s="125">
        <v>1063.9224866692678</v>
      </c>
      <c r="DA275" s="125">
        <v>31.204846033662008</v>
      </c>
      <c r="DB275" s="273">
        <v>12444.596176355833</v>
      </c>
      <c r="DC275" s="124"/>
      <c r="DD275" s="117">
        <v>84480</v>
      </c>
      <c r="DE275" s="117">
        <v>166996</v>
      </c>
      <c r="DF275" s="117">
        <v>57</v>
      </c>
      <c r="DG275" s="117">
        <v>-82459</v>
      </c>
      <c r="DH275" s="117">
        <v>66132</v>
      </c>
      <c r="DI275" s="117">
        <v>36504</v>
      </c>
      <c r="DJ275" s="136"/>
      <c r="DL275" s="160">
        <v>-642</v>
      </c>
      <c r="DM275" s="160">
        <v>290</v>
      </c>
      <c r="DN275" s="161">
        <v>19825</v>
      </c>
      <c r="DO275" s="116">
        <v>13090</v>
      </c>
      <c r="DP275" s="160">
        <v>-7</v>
      </c>
      <c r="DR275" s="161">
        <v>6728</v>
      </c>
      <c r="DS275" s="117">
        <v>-94</v>
      </c>
      <c r="DT275" s="116">
        <v>-737</v>
      </c>
      <c r="DU275" s="116">
        <v>0</v>
      </c>
      <c r="DV275" s="116">
        <v>-138</v>
      </c>
      <c r="DW275" s="160">
        <v>5759</v>
      </c>
      <c r="DX275" s="160">
        <v>31559</v>
      </c>
      <c r="DY275" s="116">
        <v>19493</v>
      </c>
      <c r="DZ275" s="150"/>
      <c r="EA275" s="116">
        <v>291</v>
      </c>
      <c r="EB275" s="116">
        <v>-7149</v>
      </c>
      <c r="EC275" s="159">
        <v>3895</v>
      </c>
      <c r="EE275" s="125"/>
      <c r="EF275" s="161"/>
      <c r="EG275" s="124"/>
      <c r="EH275" s="253">
        <v>20.75</v>
      </c>
      <c r="EI275" s="130"/>
      <c r="EJ275" s="125">
        <v>55</v>
      </c>
      <c r="EK275" s="116"/>
      <c r="EL275" s="159"/>
      <c r="EN275" s="116"/>
      <c r="EO275" s="116"/>
      <c r="EP275" s="159"/>
      <c r="EQ275" s="159">
        <v>-19956</v>
      </c>
      <c r="ER275" s="116">
        <v>122</v>
      </c>
      <c r="ES275" s="116">
        <v>2519</v>
      </c>
      <c r="ET275" s="160">
        <v>-18503</v>
      </c>
      <c r="EU275" s="116">
        <v>624</v>
      </c>
      <c r="EV275" s="116">
        <v>1399</v>
      </c>
      <c r="EW275" s="160">
        <v>-16400</v>
      </c>
      <c r="EX275" s="160">
        <v>222</v>
      </c>
      <c r="EY275" s="160">
        <v>580</v>
      </c>
      <c r="EZ275" s="116">
        <v>12095</v>
      </c>
      <c r="FA275" s="116">
        <v>1438</v>
      </c>
      <c r="FB275" s="116">
        <v>2301</v>
      </c>
      <c r="FC275" s="160">
        <v>9500</v>
      </c>
      <c r="FD275" s="116">
        <v>40</v>
      </c>
      <c r="FE275" s="116">
        <v>4500</v>
      </c>
      <c r="FF275" s="3">
        <v>73337</v>
      </c>
      <c r="FG275" s="3">
        <v>60598</v>
      </c>
      <c r="FH275" s="3">
        <v>12739</v>
      </c>
      <c r="FI275" s="3">
        <v>992</v>
      </c>
      <c r="FJ275" s="125">
        <v>77460</v>
      </c>
      <c r="FK275" s="160">
        <v>55524</v>
      </c>
      <c r="FL275" s="125">
        <v>21936</v>
      </c>
      <c r="FM275" s="116">
        <v>84</v>
      </c>
      <c r="FN275" s="125">
        <v>74850</v>
      </c>
      <c r="FO275" s="116">
        <v>48269</v>
      </c>
      <c r="FP275" s="116">
        <v>26581</v>
      </c>
      <c r="FQ275" s="116">
        <v>291</v>
      </c>
      <c r="FR275" s="153">
        <v>1414</v>
      </c>
      <c r="FS275" s="153">
        <v>1465</v>
      </c>
      <c r="FT275" s="276">
        <v>394</v>
      </c>
      <c r="FU275" s="3">
        <v>6960</v>
      </c>
      <c r="FV275" s="159">
        <v>12117</v>
      </c>
      <c r="FW275" s="170"/>
      <c r="FZ275" s="155"/>
      <c r="GA275" s="2"/>
      <c r="GD275" s="163"/>
      <c r="GE275" s="2"/>
      <c r="GF275" s="2"/>
    </row>
    <row r="276" spans="1:188" ht="14.5" x14ac:dyDescent="0.35">
      <c r="A276" s="72">
        <v>785</v>
      </c>
      <c r="B276" s="70" t="s">
        <v>242</v>
      </c>
      <c r="C276" s="158">
        <v>2869</v>
      </c>
      <c r="D276" s="171"/>
      <c r="E276" s="128">
        <v>0.83951120162932791</v>
      </c>
      <c r="F276" s="128">
        <v>40.618568710441501</v>
      </c>
      <c r="G276" s="129">
        <v>-4540.2579295921923</v>
      </c>
      <c r="H276" s="216"/>
      <c r="I276" s="172"/>
      <c r="J276" s="218"/>
      <c r="K276" s="128">
        <v>38.441691003430776</v>
      </c>
      <c r="L276" s="129">
        <v>1385.5001742767515</v>
      </c>
      <c r="M276" s="129">
        <v>26.637199823749725</v>
      </c>
      <c r="N276" s="129">
        <v>18985.012199372606</v>
      </c>
      <c r="O276" s="129"/>
      <c r="P276" s="117">
        <v>27570</v>
      </c>
      <c r="Q276" s="161">
        <v>49476</v>
      </c>
      <c r="R276" s="161">
        <v>5</v>
      </c>
      <c r="S276" s="161">
        <v>-21901</v>
      </c>
      <c r="T276" s="124">
        <v>10808</v>
      </c>
      <c r="U276" s="124">
        <v>13128</v>
      </c>
      <c r="V276" s="136"/>
      <c r="X276" s="116">
        <v>-135</v>
      </c>
      <c r="Y276" s="116">
        <v>6</v>
      </c>
      <c r="Z276" s="161">
        <v>1906</v>
      </c>
      <c r="AA276" s="116">
        <v>2153</v>
      </c>
      <c r="AB276" s="116">
        <v>278</v>
      </c>
      <c r="AD276" s="161">
        <v>31</v>
      </c>
      <c r="AE276" s="116">
        <v>2</v>
      </c>
      <c r="AF276" s="116">
        <v>43</v>
      </c>
      <c r="AG276" s="116">
        <v>-5</v>
      </c>
      <c r="AH276" s="116">
        <v>-1</v>
      </c>
      <c r="AI276" s="160">
        <v>70</v>
      </c>
      <c r="AJ276" s="161">
        <v>2944</v>
      </c>
      <c r="AK276" s="161">
        <v>1913</v>
      </c>
      <c r="AL276" s="150"/>
      <c r="AM276" s="161">
        <v>1560</v>
      </c>
      <c r="AN276" s="161">
        <v>-2300</v>
      </c>
      <c r="AO276" s="160">
        <v>-236</v>
      </c>
      <c r="AQ276" s="160"/>
      <c r="AR276" s="117"/>
      <c r="AS276" s="117"/>
      <c r="AT276" s="99">
        <v>21.5</v>
      </c>
      <c r="AU276" s="130"/>
      <c r="AV276" s="262">
        <v>85</v>
      </c>
      <c r="AW276" s="267">
        <v>2792</v>
      </c>
      <c r="AX276" s="124"/>
      <c r="AY276" s="255">
        <v>0.94279661016949157</v>
      </c>
      <c r="AZ276" s="259">
        <v>40.132264605006348</v>
      </c>
      <c r="BA276" s="160">
        <v>-4743.5530085959881</v>
      </c>
      <c r="BB276" s="130"/>
      <c r="BC276" s="130"/>
      <c r="BD276" s="130"/>
      <c r="BE276" s="128">
        <v>37.808242555249009</v>
      </c>
      <c r="BF276" s="160">
        <v>1233.1661891117478</v>
      </c>
      <c r="BG276" s="129">
        <v>26.300643523973534</v>
      </c>
      <c r="BH276" s="131">
        <v>19758.237822349573</v>
      </c>
      <c r="BI276" s="124"/>
      <c r="BJ276" s="117">
        <v>28948</v>
      </c>
      <c r="BK276" s="117">
        <v>50571</v>
      </c>
      <c r="BL276" s="161">
        <v>3</v>
      </c>
      <c r="BM276" s="161">
        <v>-21620</v>
      </c>
      <c r="BN276" s="117">
        <v>11014</v>
      </c>
      <c r="BO276" s="117">
        <v>12811</v>
      </c>
      <c r="BP276" s="136"/>
      <c r="BR276" s="160">
        <v>-138</v>
      </c>
      <c r="BS276" s="160">
        <v>3</v>
      </c>
      <c r="BT276" s="161">
        <v>2070</v>
      </c>
      <c r="BU276" s="125">
        <v>2427</v>
      </c>
      <c r="BV276" s="160">
        <v>0</v>
      </c>
      <c r="BX276" s="161">
        <v>-357</v>
      </c>
      <c r="BY276" s="160">
        <v>1</v>
      </c>
      <c r="BZ276" s="161">
        <v>51</v>
      </c>
      <c r="CA276" s="160">
        <v>7</v>
      </c>
      <c r="CB276" s="160">
        <v>-1</v>
      </c>
      <c r="CC276" s="160">
        <v>-313</v>
      </c>
      <c r="CD276" s="160">
        <v>2639</v>
      </c>
      <c r="CE276" s="116">
        <v>1881</v>
      </c>
      <c r="CF276" s="150"/>
      <c r="CG276" s="161">
        <v>614</v>
      </c>
      <c r="CH276" s="160">
        <v>-2205</v>
      </c>
      <c r="CI276" s="159">
        <v>-148</v>
      </c>
      <c r="CK276" s="124"/>
      <c r="CL276" s="161"/>
      <c r="CM276" s="124"/>
      <c r="CN276" s="265">
        <v>21.5</v>
      </c>
      <c r="CO276" s="130"/>
      <c r="CP276" s="116">
        <v>50</v>
      </c>
      <c r="CQ276" s="267">
        <v>2737</v>
      </c>
      <c r="CR276" s="124"/>
      <c r="CS276" s="268">
        <v>1.1678867740361152</v>
      </c>
      <c r="CT276" s="269">
        <v>40.190581922472013</v>
      </c>
      <c r="CU276" s="160">
        <v>-4957.6178297405913</v>
      </c>
      <c r="CV276" s="130"/>
      <c r="CW276" s="130"/>
      <c r="CX276" s="130"/>
      <c r="CY276" s="269">
        <v>36.827473885207233</v>
      </c>
      <c r="CZ276" s="125">
        <v>1421.2641578370481</v>
      </c>
      <c r="DA276" s="125">
        <v>24.85644760337523</v>
      </c>
      <c r="DB276" s="273">
        <v>20870.295944464742</v>
      </c>
      <c r="DC276" s="124"/>
      <c r="DD276" s="117">
        <v>29083</v>
      </c>
      <c r="DE276" s="117">
        <v>51688</v>
      </c>
      <c r="DF276" s="117">
        <v>11</v>
      </c>
      <c r="DG276" s="117">
        <v>-22594</v>
      </c>
      <c r="DH276" s="117">
        <v>10886</v>
      </c>
      <c r="DI276" s="117">
        <v>14076</v>
      </c>
      <c r="DJ276" s="136"/>
      <c r="DL276" s="160">
        <v>-89</v>
      </c>
      <c r="DM276" s="160">
        <v>8</v>
      </c>
      <c r="DN276" s="161">
        <v>2287</v>
      </c>
      <c r="DO276" s="116">
        <v>2350</v>
      </c>
      <c r="DP276" s="160">
        <v>0</v>
      </c>
      <c r="DR276" s="161">
        <v>-63</v>
      </c>
      <c r="DS276" s="116">
        <v>1</v>
      </c>
      <c r="DT276" s="117">
        <v>70</v>
      </c>
      <c r="DU276" s="116">
        <v>15</v>
      </c>
      <c r="DV276" s="116">
        <v>-2</v>
      </c>
      <c r="DW276" s="160">
        <v>-9</v>
      </c>
      <c r="DX276" s="160">
        <v>2445</v>
      </c>
      <c r="DY276" s="116">
        <v>3015</v>
      </c>
      <c r="DZ276" s="150"/>
      <c r="EA276" s="117">
        <v>1240</v>
      </c>
      <c r="EB276" s="116">
        <v>-1943</v>
      </c>
      <c r="EC276" s="159">
        <v>-195</v>
      </c>
      <c r="EE276" s="125"/>
      <c r="EF276" s="161"/>
      <c r="EG276" s="124"/>
      <c r="EH276" s="253">
        <v>21.5</v>
      </c>
      <c r="EI276" s="130"/>
      <c r="EJ276" s="125">
        <v>213</v>
      </c>
      <c r="EK276" s="116"/>
      <c r="EL276" s="159"/>
      <c r="EN276" s="116"/>
      <c r="EO276" s="116"/>
      <c r="EP276" s="159"/>
      <c r="EQ276" s="159">
        <v>-2505</v>
      </c>
      <c r="ER276" s="116">
        <v>0</v>
      </c>
      <c r="ES276" s="116">
        <v>356</v>
      </c>
      <c r="ET276" s="160">
        <v>-2219</v>
      </c>
      <c r="EU276" s="116">
        <v>8</v>
      </c>
      <c r="EV276" s="116">
        <v>182</v>
      </c>
      <c r="EW276" s="160">
        <v>-3361</v>
      </c>
      <c r="EX276" s="160">
        <v>11</v>
      </c>
      <c r="EY276" s="160">
        <v>140</v>
      </c>
      <c r="EZ276" s="116">
        <v>823</v>
      </c>
      <c r="FA276" s="116">
        <v>1241</v>
      </c>
      <c r="FB276" s="116">
        <v>1238</v>
      </c>
      <c r="FC276" s="160">
        <v>1825</v>
      </c>
      <c r="FD276" s="116">
        <v>2560</v>
      </c>
      <c r="FE276" s="116">
        <v>-614</v>
      </c>
      <c r="FF276" s="3">
        <v>14267</v>
      </c>
      <c r="FG276" s="3">
        <v>8934</v>
      </c>
      <c r="FH276" s="3">
        <v>5333</v>
      </c>
      <c r="FI276" s="3">
        <v>-525</v>
      </c>
      <c r="FJ276" s="125">
        <v>15226</v>
      </c>
      <c r="FK276" s="160">
        <v>8320</v>
      </c>
      <c r="FL276" s="125">
        <v>6906</v>
      </c>
      <c r="FM276" s="116">
        <v>-503</v>
      </c>
      <c r="FN276" s="125">
        <v>15297</v>
      </c>
      <c r="FO276" s="116">
        <v>9056</v>
      </c>
      <c r="FP276" s="116">
        <v>6241</v>
      </c>
      <c r="FQ276" s="116">
        <v>1240</v>
      </c>
      <c r="FR276" s="153">
        <v>269</v>
      </c>
      <c r="FS276" s="153">
        <v>269</v>
      </c>
      <c r="FT276" s="276">
        <v>292</v>
      </c>
      <c r="FU276" s="3">
        <v>1238</v>
      </c>
      <c r="FV276" s="159">
        <v>1164</v>
      </c>
      <c r="FW276" s="170"/>
      <c r="FZ276" s="155"/>
      <c r="GA276" s="2"/>
      <c r="GD276" s="163"/>
      <c r="GE276" s="2"/>
      <c r="GF276" s="2"/>
    </row>
    <row r="277" spans="1:188" ht="14.5" x14ac:dyDescent="0.35">
      <c r="A277" s="72">
        <v>905</v>
      </c>
      <c r="B277" s="70" t="s">
        <v>267</v>
      </c>
      <c r="C277" s="158">
        <v>67552</v>
      </c>
      <c r="D277" s="171"/>
      <c r="E277" s="128">
        <v>0.77179675042020424</v>
      </c>
      <c r="F277" s="128">
        <v>100.47474472253577</v>
      </c>
      <c r="G277" s="129">
        <v>-9604.9709853150162</v>
      </c>
      <c r="H277" s="216"/>
      <c r="I277" s="172"/>
      <c r="J277" s="218"/>
      <c r="K277" s="128">
        <v>36.203606328105849</v>
      </c>
      <c r="L277" s="129">
        <v>551.01255329227854</v>
      </c>
      <c r="M277" s="129">
        <v>15.747190119141036</v>
      </c>
      <c r="N277" s="129">
        <v>12771.775817148271</v>
      </c>
      <c r="O277" s="129"/>
      <c r="P277" s="117">
        <v>379326</v>
      </c>
      <c r="Q277" s="161">
        <v>719740</v>
      </c>
      <c r="R277" s="161">
        <v>-1017</v>
      </c>
      <c r="S277" s="161">
        <v>-341431</v>
      </c>
      <c r="T277" s="124">
        <v>267520</v>
      </c>
      <c r="U277" s="124">
        <v>123884</v>
      </c>
      <c r="V277" s="136"/>
      <c r="X277" s="116">
        <v>-6242</v>
      </c>
      <c r="Y277" s="116">
        <v>3240</v>
      </c>
      <c r="Z277" s="161">
        <v>46971</v>
      </c>
      <c r="AA277" s="116">
        <v>57044</v>
      </c>
      <c r="AB277" s="116">
        <v>0</v>
      </c>
      <c r="AD277" s="161">
        <v>-10073</v>
      </c>
      <c r="AE277" s="117">
        <v>-517</v>
      </c>
      <c r="AF277" s="117">
        <v>27</v>
      </c>
      <c r="AG277" s="116">
        <v>-3485</v>
      </c>
      <c r="AH277" s="117">
        <v>-500</v>
      </c>
      <c r="AI277" s="160">
        <v>-14548</v>
      </c>
      <c r="AJ277" s="161">
        <v>129037</v>
      </c>
      <c r="AK277" s="161">
        <v>36903</v>
      </c>
      <c r="AL277" s="150"/>
      <c r="AM277" s="161">
        <v>-12566</v>
      </c>
      <c r="AN277" s="161">
        <v>-62856</v>
      </c>
      <c r="AO277" s="160">
        <v>-19006</v>
      </c>
      <c r="AQ277" s="160"/>
      <c r="AR277" s="117"/>
      <c r="AS277" s="117"/>
      <c r="AT277" s="99">
        <v>20</v>
      </c>
      <c r="AU277" s="130"/>
      <c r="AV277" s="262">
        <v>76</v>
      </c>
      <c r="AW277" s="267">
        <v>67636</v>
      </c>
      <c r="AX277" s="124"/>
      <c r="AY277" s="255">
        <v>1.7825398846664604</v>
      </c>
      <c r="AZ277" s="259">
        <v>101.05371040187826</v>
      </c>
      <c r="BA277" s="160">
        <v>-10197.439233544266</v>
      </c>
      <c r="BB277" s="130"/>
      <c r="BC277" s="130"/>
      <c r="BD277" s="130"/>
      <c r="BE277" s="128">
        <v>37.801287935225709</v>
      </c>
      <c r="BF277" s="160">
        <v>576.0246022828079</v>
      </c>
      <c r="BG277" s="129">
        <v>14.630596034477559</v>
      </c>
      <c r="BH277" s="131">
        <v>13729.434029215212</v>
      </c>
      <c r="BI277" s="124"/>
      <c r="BJ277" s="117">
        <v>410019</v>
      </c>
      <c r="BK277" s="117">
        <v>735046</v>
      </c>
      <c r="BL277" s="161">
        <v>6918</v>
      </c>
      <c r="BM277" s="161">
        <v>-318109</v>
      </c>
      <c r="BN277" s="117">
        <v>279673</v>
      </c>
      <c r="BO277" s="117">
        <v>128939</v>
      </c>
      <c r="BP277" s="136"/>
      <c r="BR277" s="160">
        <v>-4973</v>
      </c>
      <c r="BS277" s="160">
        <v>6271</v>
      </c>
      <c r="BT277" s="161">
        <v>91801</v>
      </c>
      <c r="BU277" s="125">
        <v>57963</v>
      </c>
      <c r="BV277" s="160">
        <v>0</v>
      </c>
      <c r="BX277" s="161">
        <v>33838</v>
      </c>
      <c r="BY277" s="161">
        <v>-512</v>
      </c>
      <c r="BZ277" s="161">
        <v>77</v>
      </c>
      <c r="CA277" s="161">
        <v>6507</v>
      </c>
      <c r="CB277" s="161">
        <v>-399</v>
      </c>
      <c r="CC277" s="160">
        <v>26497</v>
      </c>
      <c r="CD277" s="160">
        <v>159201</v>
      </c>
      <c r="CE277" s="116">
        <v>71443</v>
      </c>
      <c r="CF277" s="150"/>
      <c r="CG277" s="161">
        <v>-11187</v>
      </c>
      <c r="CH277" s="160">
        <v>-48784</v>
      </c>
      <c r="CI277" s="159">
        <v>-37365</v>
      </c>
      <c r="CK277" s="124"/>
      <c r="CL277" s="161"/>
      <c r="CM277" s="124"/>
      <c r="CN277" s="265">
        <v>20.5</v>
      </c>
      <c r="CO277" s="130"/>
      <c r="CP277" s="116">
        <v>7</v>
      </c>
      <c r="CQ277" s="267">
        <v>67551</v>
      </c>
      <c r="CR277" s="124"/>
      <c r="CS277" s="268">
        <v>1.6697923752145889</v>
      </c>
      <c r="CT277" s="269">
        <v>106.16920796089161</v>
      </c>
      <c r="CU277" s="160">
        <v>-10534.174179508815</v>
      </c>
      <c r="CV277" s="130"/>
      <c r="CW277" s="130"/>
      <c r="CX277" s="130"/>
      <c r="CY277" s="269">
        <v>38.485415205589753</v>
      </c>
      <c r="CZ277" s="125">
        <v>559.7400482598332</v>
      </c>
      <c r="DA277" s="125">
        <v>15.651561752210903</v>
      </c>
      <c r="DB277" s="273">
        <v>13053.337478349691</v>
      </c>
      <c r="DC277" s="124"/>
      <c r="DD277" s="117">
        <v>351316</v>
      </c>
      <c r="DE277" s="117">
        <v>712624</v>
      </c>
      <c r="DF277" s="117">
        <v>5231</v>
      </c>
      <c r="DG277" s="117">
        <v>-356077</v>
      </c>
      <c r="DH277" s="117">
        <v>295892</v>
      </c>
      <c r="DI277" s="117">
        <v>160189</v>
      </c>
      <c r="DJ277" s="136"/>
      <c r="DL277" s="160">
        <v>-3879</v>
      </c>
      <c r="DM277" s="160">
        <v>2442</v>
      </c>
      <c r="DN277" s="161">
        <v>98567</v>
      </c>
      <c r="DO277" s="116">
        <v>57569</v>
      </c>
      <c r="DP277" s="160">
        <v>1634</v>
      </c>
      <c r="DR277" s="161">
        <v>42632</v>
      </c>
      <c r="DS277" s="117">
        <v>-421</v>
      </c>
      <c r="DT277" s="117">
        <v>76</v>
      </c>
      <c r="DU277" s="117">
        <v>2654</v>
      </c>
      <c r="DV277" s="117">
        <v>-177</v>
      </c>
      <c r="DW277" s="160">
        <v>39456</v>
      </c>
      <c r="DX277" s="160">
        <v>200453</v>
      </c>
      <c r="DY277" s="116">
        <v>101747</v>
      </c>
      <c r="DZ277" s="150"/>
      <c r="EA277" s="117">
        <v>-9219</v>
      </c>
      <c r="EB277" s="116">
        <v>-57210</v>
      </c>
      <c r="EC277" s="159">
        <v>2875</v>
      </c>
      <c r="EE277" s="125"/>
      <c r="EF277" s="161"/>
      <c r="EG277" s="124"/>
      <c r="EH277" s="253">
        <v>21</v>
      </c>
      <c r="EI277" s="130"/>
      <c r="EJ277" s="125">
        <v>26</v>
      </c>
      <c r="EK277" s="116"/>
      <c r="EL277" s="159"/>
      <c r="EN277" s="116"/>
      <c r="EO277" s="116"/>
      <c r="EP277" s="159"/>
      <c r="EQ277" s="159">
        <v>-73046</v>
      </c>
      <c r="ER277" s="116">
        <v>1607</v>
      </c>
      <c r="ES277" s="116">
        <v>15530</v>
      </c>
      <c r="ET277" s="160">
        <v>-138184</v>
      </c>
      <c r="EU277" s="116">
        <v>3648</v>
      </c>
      <c r="EV277" s="116">
        <v>25728</v>
      </c>
      <c r="EW277" s="160">
        <v>-104816</v>
      </c>
      <c r="EX277" s="160">
        <v>4094</v>
      </c>
      <c r="EY277" s="160">
        <v>1850</v>
      </c>
      <c r="EZ277" s="116">
        <v>69580</v>
      </c>
      <c r="FA277" s="116">
        <v>1420</v>
      </c>
      <c r="FB277" s="116">
        <v>44845</v>
      </c>
      <c r="FC277" s="160">
        <v>47249</v>
      </c>
      <c r="FD277" s="116">
        <v>107794</v>
      </c>
      <c r="FE277" s="116">
        <v>-72380</v>
      </c>
      <c r="FF277" s="3">
        <v>564527</v>
      </c>
      <c r="FG277" s="3">
        <v>509905</v>
      </c>
      <c r="FH277" s="3">
        <v>54622</v>
      </c>
      <c r="FI277" s="3">
        <v>2721</v>
      </c>
      <c r="FJ277" s="125">
        <v>607837</v>
      </c>
      <c r="FK277" s="160">
        <v>479744</v>
      </c>
      <c r="FL277" s="125">
        <v>128093</v>
      </c>
      <c r="FM277" s="116">
        <v>910</v>
      </c>
      <c r="FN277" s="125">
        <v>643251</v>
      </c>
      <c r="FO277" s="116">
        <v>587538</v>
      </c>
      <c r="FP277" s="116">
        <v>55713</v>
      </c>
      <c r="FQ277" s="116">
        <v>-9219</v>
      </c>
      <c r="FR277" s="153">
        <v>21399</v>
      </c>
      <c r="FS277" s="153">
        <v>24659</v>
      </c>
      <c r="FT277" s="276">
        <v>58860</v>
      </c>
      <c r="FU277" s="3">
        <v>6675</v>
      </c>
      <c r="FV277" s="159">
        <v>11283</v>
      </c>
      <c r="FW277" s="170"/>
      <c r="FZ277" s="155"/>
      <c r="GA277" s="2"/>
      <c r="GD277" s="163"/>
      <c r="GE277" s="2"/>
      <c r="GF277" s="2"/>
    </row>
    <row r="278" spans="1:188" ht="14.5" x14ac:dyDescent="0.35">
      <c r="A278" s="72">
        <v>908</v>
      </c>
      <c r="B278" s="70" t="s">
        <v>268</v>
      </c>
      <c r="C278" s="158">
        <v>21137</v>
      </c>
      <c r="D278" s="171"/>
      <c r="E278" s="128">
        <v>1.1649608669476219</v>
      </c>
      <c r="F278" s="128">
        <v>65.637554415924967</v>
      </c>
      <c r="G278" s="129">
        <v>-5029.1905189951267</v>
      </c>
      <c r="H278" s="216"/>
      <c r="I278" s="172"/>
      <c r="J278" s="218"/>
      <c r="K278" s="128">
        <v>42.364722506315296</v>
      </c>
      <c r="L278" s="129">
        <v>1053.4607560202489</v>
      </c>
      <c r="M278" s="129">
        <v>31.602204681545999</v>
      </c>
      <c r="N278" s="129">
        <v>12167.289586980176</v>
      </c>
      <c r="O278" s="129"/>
      <c r="P278" s="117">
        <v>112369</v>
      </c>
      <c r="Q278" s="161">
        <v>223332</v>
      </c>
      <c r="R278" s="161">
        <v>699</v>
      </c>
      <c r="S278" s="161">
        <v>-110264</v>
      </c>
      <c r="T278" s="124">
        <v>77385</v>
      </c>
      <c r="U278" s="124">
        <v>42485</v>
      </c>
      <c r="V278" s="136"/>
      <c r="X278" s="116">
        <v>-783</v>
      </c>
      <c r="Y278" s="116">
        <v>1735</v>
      </c>
      <c r="Z278" s="161">
        <v>10558</v>
      </c>
      <c r="AA278" s="116">
        <v>15048</v>
      </c>
      <c r="AB278" s="116">
        <v>0</v>
      </c>
      <c r="AD278" s="161">
        <v>-4490</v>
      </c>
      <c r="AE278" s="117">
        <v>-159</v>
      </c>
      <c r="AF278" s="117">
        <v>1</v>
      </c>
      <c r="AG278" s="116">
        <v>-263</v>
      </c>
      <c r="AH278" s="117">
        <v>-399</v>
      </c>
      <c r="AI278" s="160">
        <v>-5310</v>
      </c>
      <c r="AJ278" s="161">
        <v>18527</v>
      </c>
      <c r="AK278" s="161">
        <v>9339</v>
      </c>
      <c r="AL278" s="150"/>
      <c r="AM278" s="161">
        <v>-933</v>
      </c>
      <c r="AN278" s="161">
        <v>-8914</v>
      </c>
      <c r="AO278" s="160">
        <v>-12989</v>
      </c>
      <c r="AQ278" s="160"/>
      <c r="AR278" s="117"/>
      <c r="AS278" s="117"/>
      <c r="AT278" s="99">
        <v>19.75</v>
      </c>
      <c r="AU278" s="130"/>
      <c r="AV278" s="262">
        <v>141</v>
      </c>
      <c r="AW278" s="267">
        <v>20972</v>
      </c>
      <c r="AX278" s="124"/>
      <c r="AY278" s="255">
        <v>1.2183475497574845</v>
      </c>
      <c r="AZ278" s="259">
        <v>71.762781591534292</v>
      </c>
      <c r="BA278" s="160">
        <v>-6212.9982834255197</v>
      </c>
      <c r="BB278" s="130"/>
      <c r="BC278" s="130"/>
      <c r="BD278" s="130"/>
      <c r="BE278" s="128">
        <v>39.887223774447548</v>
      </c>
      <c r="BF278" s="160">
        <v>978.30440587449925</v>
      </c>
      <c r="BG278" s="129">
        <v>29.184638973872826</v>
      </c>
      <c r="BH278" s="131">
        <v>13278.84798779325</v>
      </c>
      <c r="BI278" s="124"/>
      <c r="BJ278" s="117">
        <v>116102</v>
      </c>
      <c r="BK278" s="117">
        <v>229500</v>
      </c>
      <c r="BL278" s="161">
        <v>941</v>
      </c>
      <c r="BM278" s="161">
        <v>-112457</v>
      </c>
      <c r="BN278" s="117">
        <v>81784</v>
      </c>
      <c r="BO278" s="117">
        <v>44220</v>
      </c>
      <c r="BP278" s="136"/>
      <c r="BR278" s="160">
        <v>-807</v>
      </c>
      <c r="BS278" s="160">
        <v>753</v>
      </c>
      <c r="BT278" s="161">
        <v>13493</v>
      </c>
      <c r="BU278" s="125">
        <v>14726</v>
      </c>
      <c r="BV278" s="160">
        <v>0</v>
      </c>
      <c r="BX278" s="161">
        <v>-1233</v>
      </c>
      <c r="BY278" s="161">
        <v>-127</v>
      </c>
      <c r="BZ278" s="161">
        <v>0</v>
      </c>
      <c r="CA278" s="161">
        <v>586</v>
      </c>
      <c r="CB278" s="161">
        <v>-191</v>
      </c>
      <c r="CC278" s="160">
        <v>-2137</v>
      </c>
      <c r="CD278" s="160">
        <v>16411</v>
      </c>
      <c r="CE278" s="116">
        <v>10571</v>
      </c>
      <c r="CF278" s="150"/>
      <c r="CG278" s="161">
        <v>930</v>
      </c>
      <c r="CH278" s="160">
        <v>-10882</v>
      </c>
      <c r="CI278" s="159">
        <v>-24002</v>
      </c>
      <c r="CK278" s="124"/>
      <c r="CL278" s="161"/>
      <c r="CM278" s="124"/>
      <c r="CN278" s="265">
        <v>20.25</v>
      </c>
      <c r="CO278" s="130"/>
      <c r="CP278" s="116">
        <v>75</v>
      </c>
      <c r="CQ278" s="267">
        <v>20765</v>
      </c>
      <c r="CR278" s="124"/>
      <c r="CS278" s="268">
        <v>1.969523950763755</v>
      </c>
      <c r="CT278" s="269">
        <v>71.89972310126582</v>
      </c>
      <c r="CU278" s="160">
        <v>-6613.0508066457987</v>
      </c>
      <c r="CV278" s="130"/>
      <c r="CW278" s="130"/>
      <c r="CX278" s="130"/>
      <c r="CY278" s="269">
        <v>39.576657135593379</v>
      </c>
      <c r="CZ278" s="125">
        <v>1330.3154346255719</v>
      </c>
      <c r="DA278" s="125">
        <v>35.259583575210343</v>
      </c>
      <c r="DB278" s="273">
        <v>13771.153383096556</v>
      </c>
      <c r="DC278" s="124"/>
      <c r="DD278" s="117">
        <v>124294</v>
      </c>
      <c r="DE278" s="117">
        <v>239175</v>
      </c>
      <c r="DF278" s="117">
        <v>1290</v>
      </c>
      <c r="DG278" s="117">
        <v>-113591</v>
      </c>
      <c r="DH278" s="117">
        <v>84214</v>
      </c>
      <c r="DI278" s="117">
        <v>54404</v>
      </c>
      <c r="DJ278" s="136"/>
      <c r="DL278" s="160">
        <v>-897</v>
      </c>
      <c r="DM278" s="160">
        <v>1232</v>
      </c>
      <c r="DN278" s="161">
        <v>25362</v>
      </c>
      <c r="DO278" s="116">
        <v>16466</v>
      </c>
      <c r="DP278" s="160">
        <v>0</v>
      </c>
      <c r="DR278" s="161">
        <v>8896</v>
      </c>
      <c r="DS278" s="117">
        <v>-605</v>
      </c>
      <c r="DT278" s="117">
        <v>0</v>
      </c>
      <c r="DU278" s="117">
        <v>668</v>
      </c>
      <c r="DV278" s="117">
        <v>-400</v>
      </c>
      <c r="DW278" s="160">
        <v>7223</v>
      </c>
      <c r="DX278" s="160">
        <v>24126</v>
      </c>
      <c r="DY278" s="116">
        <v>22064</v>
      </c>
      <c r="DZ278" s="150"/>
      <c r="EA278" s="117">
        <v>-2778</v>
      </c>
      <c r="EB278" s="116">
        <v>-12287</v>
      </c>
      <c r="EC278" s="159">
        <v>-7958</v>
      </c>
      <c r="EE278" s="125"/>
      <c r="EF278" s="161"/>
      <c r="EG278" s="124"/>
      <c r="EH278" s="253">
        <v>20.25</v>
      </c>
      <c r="EI278" s="130"/>
      <c r="EJ278" s="125">
        <v>67</v>
      </c>
      <c r="EK278" s="116"/>
      <c r="EL278" s="159"/>
      <c r="EN278" s="116"/>
      <c r="EO278" s="116"/>
      <c r="EP278" s="159"/>
      <c r="EQ278" s="159">
        <v>-22999</v>
      </c>
      <c r="ER278" s="116">
        <v>0</v>
      </c>
      <c r="ES278" s="116">
        <v>671</v>
      </c>
      <c r="ET278" s="160">
        <v>-36349</v>
      </c>
      <c r="EU278" s="116">
        <v>280</v>
      </c>
      <c r="EV278" s="116">
        <v>1496</v>
      </c>
      <c r="EW278" s="160">
        <v>-32204</v>
      </c>
      <c r="EX278" s="160">
        <v>618</v>
      </c>
      <c r="EY278" s="160">
        <v>1564</v>
      </c>
      <c r="EZ278" s="116">
        <v>21397</v>
      </c>
      <c r="FA278" s="116">
        <v>-5010</v>
      </c>
      <c r="FB278" s="116">
        <v>27024</v>
      </c>
      <c r="FC278" s="160">
        <v>6338</v>
      </c>
      <c r="FD278" s="116">
        <v>27468</v>
      </c>
      <c r="FE278" s="116">
        <v>-2959</v>
      </c>
      <c r="FF278" s="3">
        <v>102092</v>
      </c>
      <c r="FG278" s="3">
        <v>85347</v>
      </c>
      <c r="FH278" s="3">
        <v>16745</v>
      </c>
      <c r="FI278" s="3">
        <v>1076</v>
      </c>
      <c r="FJ278" s="125">
        <v>124572</v>
      </c>
      <c r="FK278" s="160">
        <v>101490</v>
      </c>
      <c r="FL278" s="125">
        <v>23082</v>
      </c>
      <c r="FM278" s="116">
        <v>1068</v>
      </c>
      <c r="FN278" s="125">
        <v>136321</v>
      </c>
      <c r="FO278" s="116">
        <v>115297</v>
      </c>
      <c r="FP278" s="116">
        <v>21024</v>
      </c>
      <c r="FQ278" s="116">
        <v>-2778</v>
      </c>
      <c r="FR278" s="153">
        <v>9510</v>
      </c>
      <c r="FS278" s="153">
        <v>1679</v>
      </c>
      <c r="FT278" s="276">
        <v>1521</v>
      </c>
      <c r="FU278" s="3">
        <v>25630</v>
      </c>
      <c r="FV278" s="159">
        <v>39850</v>
      </c>
      <c r="FW278" s="170"/>
      <c r="FZ278" s="155"/>
      <c r="GA278" s="2"/>
      <c r="GD278" s="163"/>
      <c r="GE278" s="2"/>
      <c r="GF278" s="2"/>
    </row>
    <row r="279" spans="1:188" ht="14.5" x14ac:dyDescent="0.35">
      <c r="A279" s="72">
        <v>92</v>
      </c>
      <c r="B279" s="70" t="s">
        <v>28</v>
      </c>
      <c r="C279" s="158">
        <v>228166</v>
      </c>
      <c r="D279" s="171"/>
      <c r="E279" s="128">
        <v>9.7471746202085914</v>
      </c>
      <c r="F279" s="128">
        <v>109.73833143009051</v>
      </c>
      <c r="G279" s="129">
        <v>-8919.7470262878778</v>
      </c>
      <c r="H279" s="216"/>
      <c r="I279" s="172"/>
      <c r="J279" s="218"/>
      <c r="K279" s="128">
        <v>31.143259836301223</v>
      </c>
      <c r="L279" s="129">
        <v>1028.9350735867747</v>
      </c>
      <c r="M279" s="129">
        <v>35.0862987061643</v>
      </c>
      <c r="N279" s="129">
        <v>10703.930471674132</v>
      </c>
      <c r="O279" s="129"/>
      <c r="P279" s="117">
        <v>1065950</v>
      </c>
      <c r="Q279" s="161">
        <v>1942110</v>
      </c>
      <c r="R279" s="161">
        <v>-4339</v>
      </c>
      <c r="S279" s="161">
        <v>-880499</v>
      </c>
      <c r="T279" s="124">
        <v>982465</v>
      </c>
      <c r="U279" s="124">
        <v>178486</v>
      </c>
      <c r="V279" s="136"/>
      <c r="X279" s="116">
        <v>-8241</v>
      </c>
      <c r="Y279" s="116">
        <v>-70</v>
      </c>
      <c r="Z279" s="161">
        <v>272141</v>
      </c>
      <c r="AA279" s="116">
        <v>207359</v>
      </c>
      <c r="AB279" s="116">
        <v>0</v>
      </c>
      <c r="AD279" s="161">
        <v>64782</v>
      </c>
      <c r="AE279" s="117">
        <v>-12672</v>
      </c>
      <c r="AF279" s="117">
        <v>765</v>
      </c>
      <c r="AG279" s="116">
        <v>-7953</v>
      </c>
      <c r="AH279" s="117">
        <v>-9197</v>
      </c>
      <c r="AI279" s="160">
        <v>35725</v>
      </c>
      <c r="AJ279" s="161">
        <v>653551</v>
      </c>
      <c r="AK279" s="161">
        <v>223641</v>
      </c>
      <c r="AL279" s="150"/>
      <c r="AM279" s="161">
        <v>-22086</v>
      </c>
      <c r="AN279" s="161">
        <v>-11309</v>
      </c>
      <c r="AO279" s="160">
        <v>-43211</v>
      </c>
      <c r="AQ279" s="160"/>
      <c r="AR279" s="117"/>
      <c r="AS279" s="117"/>
      <c r="AT279" s="99">
        <v>19</v>
      </c>
      <c r="AU279" s="130"/>
      <c r="AV279" s="262">
        <v>12</v>
      </c>
      <c r="AW279" s="267">
        <v>233775</v>
      </c>
      <c r="AX279" s="124"/>
      <c r="AY279" s="255">
        <v>3.774334757514429</v>
      </c>
      <c r="AZ279" s="259">
        <v>110.50624668032809</v>
      </c>
      <c r="BA279" s="160">
        <v>-9020.4213453106622</v>
      </c>
      <c r="BB279" s="130"/>
      <c r="BC279" s="130"/>
      <c r="BD279" s="130"/>
      <c r="BE279" s="128">
        <v>34.153450424350211</v>
      </c>
      <c r="BF279" s="160">
        <v>1229.1116974494282</v>
      </c>
      <c r="BG279" s="129">
        <v>33.774759353314501</v>
      </c>
      <c r="BH279" s="131">
        <v>10852.837129718748</v>
      </c>
      <c r="BI279" s="124"/>
      <c r="BJ279" s="117">
        <v>1082355</v>
      </c>
      <c r="BK279" s="117">
        <v>2051876</v>
      </c>
      <c r="BL279" s="161">
        <v>9252</v>
      </c>
      <c r="BM279" s="161">
        <v>-960269</v>
      </c>
      <c r="BN279" s="117">
        <v>1009967</v>
      </c>
      <c r="BO279" s="117">
        <v>189530</v>
      </c>
      <c r="BP279" s="136"/>
      <c r="BR279" s="160">
        <v>-8065</v>
      </c>
      <c r="BS279" s="160">
        <v>2194</v>
      </c>
      <c r="BT279" s="161">
        <v>233357</v>
      </c>
      <c r="BU279" s="125">
        <v>216346</v>
      </c>
      <c r="BV279" s="160">
        <v>3265</v>
      </c>
      <c r="BX279" s="161">
        <v>20276</v>
      </c>
      <c r="BY279" s="161">
        <v>-18802</v>
      </c>
      <c r="BZ279" s="161">
        <v>-304</v>
      </c>
      <c r="CA279" s="161">
        <v>10617</v>
      </c>
      <c r="CB279" s="161">
        <v>-7304</v>
      </c>
      <c r="CC279" s="160">
        <v>-16751</v>
      </c>
      <c r="CD279" s="160">
        <v>647042</v>
      </c>
      <c r="CE279" s="116">
        <v>195115</v>
      </c>
      <c r="CF279" s="150"/>
      <c r="CG279" s="161">
        <v>-7174</v>
      </c>
      <c r="CH279" s="160">
        <v>-48295</v>
      </c>
      <c r="CI279" s="159">
        <v>-63767</v>
      </c>
      <c r="CK279" s="124"/>
      <c r="CL279" s="161"/>
      <c r="CM279" s="124"/>
      <c r="CN279" s="265">
        <v>19</v>
      </c>
      <c r="CO279" s="130"/>
      <c r="CP279" s="116">
        <v>21</v>
      </c>
      <c r="CQ279" s="267">
        <v>237231</v>
      </c>
      <c r="CR279" s="124"/>
      <c r="CS279" s="268">
        <v>1.5015688710499491</v>
      </c>
      <c r="CT279" s="269">
        <v>105.20386968806721</v>
      </c>
      <c r="CU279" s="160">
        <v>-9130.1811314710139</v>
      </c>
      <c r="CV279" s="130"/>
      <c r="CW279" s="130"/>
      <c r="CX279" s="130"/>
      <c r="CY279" s="269">
        <v>35.731581375710462</v>
      </c>
      <c r="CZ279" s="125">
        <v>950.98026817743039</v>
      </c>
      <c r="DA279" s="125">
        <v>29.97738537512355</v>
      </c>
      <c r="DB279" s="273">
        <v>11578.988412138378</v>
      </c>
      <c r="DC279" s="124"/>
      <c r="DD279" s="117">
        <v>1032561</v>
      </c>
      <c r="DE279" s="117">
        <v>2042643</v>
      </c>
      <c r="DF279" s="117">
        <v>719</v>
      </c>
      <c r="DG279" s="117">
        <v>-1009363</v>
      </c>
      <c r="DH279" s="117">
        <v>1072963</v>
      </c>
      <c r="DI279" s="117">
        <v>299321</v>
      </c>
      <c r="DJ279" s="136"/>
      <c r="DL279" s="160">
        <v>-7630</v>
      </c>
      <c r="DM279" s="160">
        <v>4038</v>
      </c>
      <c r="DN279" s="161">
        <v>359329</v>
      </c>
      <c r="DO279" s="116">
        <v>223326</v>
      </c>
      <c r="DP279" s="160">
        <v>125</v>
      </c>
      <c r="DR279" s="161">
        <v>136128</v>
      </c>
      <c r="DS279" s="117">
        <v>-18788</v>
      </c>
      <c r="DT279" s="117">
        <v>-757</v>
      </c>
      <c r="DU279" s="117">
        <v>9201</v>
      </c>
      <c r="DV279" s="117">
        <v>-6657</v>
      </c>
      <c r="DW279" s="160">
        <v>100725</v>
      </c>
      <c r="DX279" s="160">
        <v>750414</v>
      </c>
      <c r="DY279" s="116">
        <v>316970</v>
      </c>
      <c r="DZ279" s="150"/>
      <c r="EA279" s="117">
        <v>44297</v>
      </c>
      <c r="EB279" s="116">
        <v>-233367</v>
      </c>
      <c r="EC279" s="159">
        <v>-35198</v>
      </c>
      <c r="EE279" s="125"/>
      <c r="EF279" s="161"/>
      <c r="EG279" s="124"/>
      <c r="EH279" s="253">
        <v>19</v>
      </c>
      <c r="EI279" s="130"/>
      <c r="EJ279" s="125">
        <v>21</v>
      </c>
      <c r="EK279" s="116"/>
      <c r="EL279" s="159"/>
      <c r="EN279" s="116"/>
      <c r="EO279" s="116"/>
      <c r="EP279" s="159"/>
      <c r="EQ279" s="159">
        <v>-465413</v>
      </c>
      <c r="ER279" s="116">
        <v>4342</v>
      </c>
      <c r="ES279" s="116">
        <v>194219</v>
      </c>
      <c r="ET279" s="160">
        <v>-417767</v>
      </c>
      <c r="EU279" s="116">
        <v>251</v>
      </c>
      <c r="EV279" s="116">
        <v>158634</v>
      </c>
      <c r="EW279" s="160">
        <v>-452096</v>
      </c>
      <c r="EX279" s="160">
        <v>3696</v>
      </c>
      <c r="EY279" s="160">
        <v>96232</v>
      </c>
      <c r="EZ279" s="116">
        <v>67954</v>
      </c>
      <c r="FA279" s="116">
        <v>-99268</v>
      </c>
      <c r="FB279" s="116">
        <v>199995</v>
      </c>
      <c r="FC279" s="160">
        <v>-71793</v>
      </c>
      <c r="FD279" s="116">
        <v>221813</v>
      </c>
      <c r="FE279" s="116">
        <v>-29702</v>
      </c>
      <c r="FF279" s="3">
        <v>1928242</v>
      </c>
      <c r="FG279" s="3">
        <v>1785018</v>
      </c>
      <c r="FH279" s="3">
        <v>143224</v>
      </c>
      <c r="FI279" s="3">
        <v>193879</v>
      </c>
      <c r="FJ279" s="125">
        <v>2008417</v>
      </c>
      <c r="FK279" s="160">
        <v>1807027</v>
      </c>
      <c r="FL279" s="125">
        <v>201390</v>
      </c>
      <c r="FM279" s="116">
        <v>191175</v>
      </c>
      <c r="FN279" s="125">
        <v>1967156</v>
      </c>
      <c r="FO279" s="116">
        <v>1809242</v>
      </c>
      <c r="FP279" s="116">
        <v>157914</v>
      </c>
      <c r="FQ279" s="116">
        <v>44297</v>
      </c>
      <c r="FR279" s="153">
        <v>61114</v>
      </c>
      <c r="FS279" s="153">
        <v>75317</v>
      </c>
      <c r="FT279" s="276">
        <v>83374</v>
      </c>
      <c r="FU279" s="3">
        <v>404149</v>
      </c>
      <c r="FV279" s="159">
        <v>395756</v>
      </c>
      <c r="FW279" s="170"/>
      <c r="FZ279" s="155"/>
      <c r="GA279" s="2"/>
      <c r="GD279" s="163"/>
      <c r="GE279" s="2"/>
      <c r="GF279" s="2"/>
    </row>
    <row r="280" spans="1:188" ht="14.5" x14ac:dyDescent="0.35">
      <c r="A280" s="72">
        <v>915</v>
      </c>
      <c r="B280" s="70" t="s">
        <v>269</v>
      </c>
      <c r="C280" s="158">
        <v>20829</v>
      </c>
      <c r="D280" s="171"/>
      <c r="E280" s="128">
        <v>0.92865743527995182</v>
      </c>
      <c r="F280" s="128">
        <v>85.331722656849209</v>
      </c>
      <c r="G280" s="129">
        <v>-6931.5857698401269</v>
      </c>
      <c r="H280" s="216"/>
      <c r="I280" s="172"/>
      <c r="J280" s="218"/>
      <c r="K280" s="128">
        <v>35.630334444995015</v>
      </c>
      <c r="L280" s="129">
        <v>1612.1273224830766</v>
      </c>
      <c r="M280" s="129">
        <v>42.468831861841466</v>
      </c>
      <c r="N280" s="129">
        <v>13855.489941907917</v>
      </c>
      <c r="O280" s="129"/>
      <c r="P280" s="117">
        <v>117935</v>
      </c>
      <c r="Q280" s="161">
        <v>244266</v>
      </c>
      <c r="R280" s="161">
        <v>867</v>
      </c>
      <c r="S280" s="161">
        <v>-125464</v>
      </c>
      <c r="T280" s="124">
        <v>78325</v>
      </c>
      <c r="U280" s="124">
        <v>64500</v>
      </c>
      <c r="V280" s="136"/>
      <c r="X280" s="116">
        <v>-1907</v>
      </c>
      <c r="Y280" s="116">
        <v>931</v>
      </c>
      <c r="Z280" s="161">
        <v>16385</v>
      </c>
      <c r="AA280" s="116">
        <v>16007</v>
      </c>
      <c r="AB280" s="116">
        <v>0</v>
      </c>
      <c r="AD280" s="161">
        <v>378</v>
      </c>
      <c r="AE280" s="116">
        <v>-380</v>
      </c>
      <c r="AF280" s="116">
        <v>973</v>
      </c>
      <c r="AG280" s="116">
        <v>-471</v>
      </c>
      <c r="AH280" s="116">
        <v>113</v>
      </c>
      <c r="AI280" s="160">
        <v>613</v>
      </c>
      <c r="AJ280" s="161">
        <v>35919</v>
      </c>
      <c r="AK280" s="161">
        <v>14343</v>
      </c>
      <c r="AL280" s="150"/>
      <c r="AM280" s="161">
        <v>-3309</v>
      </c>
      <c r="AN280" s="161">
        <v>-17807</v>
      </c>
      <c r="AO280" s="160">
        <v>615</v>
      </c>
      <c r="AQ280" s="160"/>
      <c r="AR280" s="117"/>
      <c r="AS280" s="117"/>
      <c r="AT280" s="99">
        <v>21</v>
      </c>
      <c r="AU280" s="130"/>
      <c r="AV280" s="262">
        <v>51</v>
      </c>
      <c r="AW280" s="267">
        <v>20466</v>
      </c>
      <c r="AX280" s="124"/>
      <c r="AY280" s="255">
        <v>0.70252100840336129</v>
      </c>
      <c r="AZ280" s="259">
        <v>82.472971731340536</v>
      </c>
      <c r="BA280" s="160">
        <v>-7230.6264047688846</v>
      </c>
      <c r="BB280" s="130"/>
      <c r="BC280" s="130"/>
      <c r="BD280" s="130"/>
      <c r="BE280" s="128">
        <v>37.599012505794988</v>
      </c>
      <c r="BF280" s="160">
        <v>1321.8491059747057</v>
      </c>
      <c r="BG280" s="129">
        <v>42.13913166055822</v>
      </c>
      <c r="BH280" s="131">
        <v>14211.570409459591</v>
      </c>
      <c r="BI280" s="124"/>
      <c r="BJ280" s="117">
        <v>115642</v>
      </c>
      <c r="BK280" s="117">
        <v>245478</v>
      </c>
      <c r="BL280" s="161">
        <v>934</v>
      </c>
      <c r="BM280" s="161">
        <v>-128902</v>
      </c>
      <c r="BN280" s="117">
        <v>78113</v>
      </c>
      <c r="BO280" s="117">
        <v>67453</v>
      </c>
      <c r="BP280" s="136"/>
      <c r="BR280" s="160">
        <v>-1307</v>
      </c>
      <c r="BS280" s="160">
        <v>810</v>
      </c>
      <c r="BT280" s="161">
        <v>16167</v>
      </c>
      <c r="BU280" s="125">
        <v>15440</v>
      </c>
      <c r="BV280" s="160">
        <v>0</v>
      </c>
      <c r="BX280" s="161">
        <v>727</v>
      </c>
      <c r="BY280" s="160">
        <v>-230</v>
      </c>
      <c r="BZ280" s="161">
        <v>18</v>
      </c>
      <c r="CA280" s="160">
        <v>302</v>
      </c>
      <c r="CB280" s="160">
        <v>-103</v>
      </c>
      <c r="CC280" s="160">
        <v>110</v>
      </c>
      <c r="CD280" s="160">
        <v>36029</v>
      </c>
      <c r="CE280" s="116">
        <v>14067</v>
      </c>
      <c r="CF280" s="150"/>
      <c r="CG280" s="160">
        <v>1418</v>
      </c>
      <c r="CH280" s="160">
        <v>-23778</v>
      </c>
      <c r="CI280" s="159">
        <v>-3740</v>
      </c>
      <c r="CK280" s="124"/>
      <c r="CL280" s="161"/>
      <c r="CM280" s="124"/>
      <c r="CN280" s="265">
        <v>21</v>
      </c>
      <c r="CO280" s="130"/>
      <c r="CP280" s="116">
        <v>43</v>
      </c>
      <c r="CQ280" s="267">
        <v>20278</v>
      </c>
      <c r="CR280" s="124"/>
      <c r="CS280" s="268">
        <v>1.9245156482861401</v>
      </c>
      <c r="CT280" s="269">
        <v>86.819492860715314</v>
      </c>
      <c r="CU280" s="160">
        <v>-7450.5868428839131</v>
      </c>
      <c r="CV280" s="130"/>
      <c r="CW280" s="130"/>
      <c r="CX280" s="130"/>
      <c r="CY280" s="269">
        <v>37.035689248272796</v>
      </c>
      <c r="CZ280" s="125">
        <v>1813.6403984613867</v>
      </c>
      <c r="DA280" s="125">
        <v>47.244256190784569</v>
      </c>
      <c r="DB280" s="273">
        <v>14011.835486734393</v>
      </c>
      <c r="DC280" s="124"/>
      <c r="DD280" s="117">
        <v>108785</v>
      </c>
      <c r="DE280" s="117">
        <v>243459</v>
      </c>
      <c r="DF280" s="117">
        <v>2250</v>
      </c>
      <c r="DG280" s="117">
        <v>-132424</v>
      </c>
      <c r="DH280" s="117">
        <v>80092</v>
      </c>
      <c r="DI280" s="117">
        <v>77046</v>
      </c>
      <c r="DJ280" s="136"/>
      <c r="DL280" s="160">
        <v>-1027</v>
      </c>
      <c r="DM280" s="160">
        <v>1005</v>
      </c>
      <c r="DN280" s="161">
        <v>24692</v>
      </c>
      <c r="DO280" s="116">
        <v>18438</v>
      </c>
      <c r="DP280" s="160">
        <v>402</v>
      </c>
      <c r="DR280" s="161">
        <v>6656</v>
      </c>
      <c r="DS280" s="116">
        <v>-130</v>
      </c>
      <c r="DT280" s="117">
        <v>6</v>
      </c>
      <c r="DU280" s="116">
        <v>158</v>
      </c>
      <c r="DV280" s="116">
        <v>-174</v>
      </c>
      <c r="DW280" s="160">
        <v>6200</v>
      </c>
      <c r="DX280" s="160">
        <v>42229</v>
      </c>
      <c r="DY280" s="116">
        <v>21806</v>
      </c>
      <c r="DZ280" s="150"/>
      <c r="EA280" s="116">
        <v>-725</v>
      </c>
      <c r="EB280" s="116">
        <v>-12285</v>
      </c>
      <c r="EC280" s="159">
        <v>-2182</v>
      </c>
      <c r="EE280" s="125"/>
      <c r="EF280" s="161"/>
      <c r="EG280" s="124"/>
      <c r="EH280" s="253">
        <v>21</v>
      </c>
      <c r="EI280" s="130"/>
      <c r="EJ280" s="125">
        <v>69</v>
      </c>
      <c r="EK280" s="116"/>
      <c r="EL280" s="159"/>
      <c r="EN280" s="116"/>
      <c r="EO280" s="116"/>
      <c r="EP280" s="159"/>
      <c r="EQ280" s="159">
        <v>-23235</v>
      </c>
      <c r="ER280" s="116">
        <v>1211</v>
      </c>
      <c r="ES280" s="116">
        <v>8296</v>
      </c>
      <c r="ET280" s="160">
        <v>-19122</v>
      </c>
      <c r="EU280" s="116">
        <v>113</v>
      </c>
      <c r="EV280" s="116">
        <v>1202</v>
      </c>
      <c r="EW280" s="160">
        <v>-26689</v>
      </c>
      <c r="EX280" s="160">
        <v>23</v>
      </c>
      <c r="EY280" s="160">
        <v>2678</v>
      </c>
      <c r="EZ280" s="116">
        <v>17881</v>
      </c>
      <c r="FA280" s="116">
        <v>7446</v>
      </c>
      <c r="FB280" s="116">
        <v>21836</v>
      </c>
      <c r="FC280" s="160">
        <v>-6084</v>
      </c>
      <c r="FD280" s="116">
        <v>24309</v>
      </c>
      <c r="FE280" s="116">
        <v>2129</v>
      </c>
      <c r="FF280" s="3">
        <v>181787</v>
      </c>
      <c r="FG280" s="3">
        <v>135816</v>
      </c>
      <c r="FH280" s="3">
        <v>45971</v>
      </c>
      <c r="FI280" s="3">
        <v>876</v>
      </c>
      <c r="FJ280" s="125">
        <v>173762</v>
      </c>
      <c r="FK280" s="160">
        <v>146086</v>
      </c>
      <c r="FL280" s="125">
        <v>27676</v>
      </c>
      <c r="FM280" s="116">
        <v>796</v>
      </c>
      <c r="FN280" s="125">
        <v>187914</v>
      </c>
      <c r="FO280" s="116">
        <v>156675</v>
      </c>
      <c r="FP280" s="116">
        <v>31239</v>
      </c>
      <c r="FQ280" s="116">
        <v>-725</v>
      </c>
      <c r="FR280" s="153">
        <v>629</v>
      </c>
      <c r="FS280" s="153">
        <v>390</v>
      </c>
      <c r="FT280" s="276">
        <v>351</v>
      </c>
      <c r="FU280" s="3">
        <v>68508</v>
      </c>
      <c r="FV280" s="159">
        <v>73683</v>
      </c>
      <c r="FW280" s="170"/>
      <c r="FZ280" s="155"/>
      <c r="GA280" s="2"/>
      <c r="GD280" s="163"/>
      <c r="GE280" s="2"/>
      <c r="GF280" s="2"/>
    </row>
    <row r="281" spans="1:188" ht="14.5" x14ac:dyDescent="0.35">
      <c r="A281" s="72">
        <v>918</v>
      </c>
      <c r="B281" s="70" t="s">
        <v>270</v>
      </c>
      <c r="C281" s="158">
        <v>2285</v>
      </c>
      <c r="D281" s="171"/>
      <c r="E281" s="128">
        <v>-0.16009557945041816</v>
      </c>
      <c r="F281" s="128">
        <v>70.236319644691918</v>
      </c>
      <c r="G281" s="129">
        <v>-7998.2494529540481</v>
      </c>
      <c r="H281" s="216"/>
      <c r="I281" s="172"/>
      <c r="J281" s="218"/>
      <c r="K281" s="128">
        <v>12.59874417662548</v>
      </c>
      <c r="L281" s="129">
        <v>344.42013129102844</v>
      </c>
      <c r="M281" s="129">
        <v>7.6732289774548565</v>
      </c>
      <c r="N281" s="129">
        <v>16383.369803063455</v>
      </c>
      <c r="O281" s="129"/>
      <c r="P281" s="117">
        <v>16515</v>
      </c>
      <c r="Q281" s="161">
        <v>30361</v>
      </c>
      <c r="R281" s="161">
        <v>1</v>
      </c>
      <c r="S281" s="161">
        <v>-13845</v>
      </c>
      <c r="T281" s="124">
        <v>8355</v>
      </c>
      <c r="U281" s="124">
        <v>5301</v>
      </c>
      <c r="V281" s="136"/>
      <c r="X281" s="116">
        <v>-134</v>
      </c>
      <c r="Y281" s="116">
        <v>4</v>
      </c>
      <c r="Z281" s="161">
        <v>-319</v>
      </c>
      <c r="AA281" s="116">
        <v>910</v>
      </c>
      <c r="AB281" s="117">
        <v>-3</v>
      </c>
      <c r="AD281" s="161">
        <v>-1232</v>
      </c>
      <c r="AE281" s="116">
        <v>0</v>
      </c>
      <c r="AF281" s="116">
        <v>0</v>
      </c>
      <c r="AG281" s="116">
        <v>0</v>
      </c>
      <c r="AH281" s="116">
        <v>0</v>
      </c>
      <c r="AI281" s="160">
        <v>-1232</v>
      </c>
      <c r="AJ281" s="161">
        <v>-2702</v>
      </c>
      <c r="AK281" s="161">
        <v>-299</v>
      </c>
      <c r="AL281" s="150"/>
      <c r="AM281" s="161">
        <v>243</v>
      </c>
      <c r="AN281" s="161">
        <v>-652</v>
      </c>
      <c r="AO281" s="160">
        <v>-6288</v>
      </c>
      <c r="AQ281" s="160"/>
      <c r="AR281" s="117"/>
      <c r="AS281" s="117"/>
      <c r="AT281" s="99">
        <v>22.25</v>
      </c>
      <c r="AU281" s="130"/>
      <c r="AV281" s="262">
        <v>290</v>
      </c>
      <c r="AW281" s="267">
        <v>2293</v>
      </c>
      <c r="AX281" s="124"/>
      <c r="AY281" s="255">
        <v>1.606060606060606</v>
      </c>
      <c r="AZ281" s="259">
        <v>84.493253035328976</v>
      </c>
      <c r="BA281" s="160">
        <v>-9290.8853030963819</v>
      </c>
      <c r="BB281" s="130"/>
      <c r="BC281" s="130"/>
      <c r="BD281" s="130"/>
      <c r="BE281" s="128">
        <v>9.0303175308473183</v>
      </c>
      <c r="BF281" s="160">
        <v>850.04965243296931</v>
      </c>
      <c r="BG281" s="129">
        <v>8.3860279091492966</v>
      </c>
      <c r="BH281" s="131">
        <v>14938.508504143045</v>
      </c>
      <c r="BI281" s="124"/>
      <c r="BJ281" s="117">
        <v>16467</v>
      </c>
      <c r="BK281" s="117">
        <v>29636</v>
      </c>
      <c r="BL281" s="161">
        <v>8</v>
      </c>
      <c r="BM281" s="161">
        <v>-13161</v>
      </c>
      <c r="BN281" s="117">
        <v>8624</v>
      </c>
      <c r="BO281" s="117">
        <v>5960</v>
      </c>
      <c r="BP281" s="136"/>
      <c r="BR281" s="160">
        <v>-216</v>
      </c>
      <c r="BS281" s="160">
        <v>5</v>
      </c>
      <c r="BT281" s="161">
        <v>1212</v>
      </c>
      <c r="BU281" s="125">
        <v>1168</v>
      </c>
      <c r="BV281" s="161">
        <v>-527</v>
      </c>
      <c r="BW281" s="117"/>
      <c r="BX281" s="161">
        <v>-483</v>
      </c>
      <c r="BY281" s="160">
        <v>0</v>
      </c>
      <c r="BZ281" s="161">
        <v>0</v>
      </c>
      <c r="CA281" s="160">
        <v>0</v>
      </c>
      <c r="CB281" s="160">
        <v>0</v>
      </c>
      <c r="CC281" s="160">
        <v>-483</v>
      </c>
      <c r="CD281" s="160">
        <v>-3172</v>
      </c>
      <c r="CE281" s="116">
        <v>635</v>
      </c>
      <c r="CF281" s="150"/>
      <c r="CG281" s="161">
        <v>207</v>
      </c>
      <c r="CH281" s="160">
        <v>-672</v>
      </c>
      <c r="CI281" s="159">
        <v>-2975</v>
      </c>
      <c r="CK281" s="124"/>
      <c r="CL281" s="161"/>
      <c r="CM281" s="124"/>
      <c r="CN281" s="265">
        <v>22.25</v>
      </c>
      <c r="CO281" s="130"/>
      <c r="CP281" s="116">
        <v>113</v>
      </c>
      <c r="CQ281" s="267">
        <v>2292</v>
      </c>
      <c r="CR281" s="124"/>
      <c r="CS281" s="268">
        <v>1.3157272368939692</v>
      </c>
      <c r="CT281" s="269">
        <v>73.69484151646985</v>
      </c>
      <c r="CU281" s="160">
        <v>-8379.5811518324608</v>
      </c>
      <c r="CV281" s="130"/>
      <c r="CW281" s="130"/>
      <c r="CX281" s="130"/>
      <c r="CY281" s="269">
        <v>15.713985867207724</v>
      </c>
      <c r="CZ281" s="125">
        <v>991.7102966841187</v>
      </c>
      <c r="DA281" s="125">
        <v>25.605536866146107</v>
      </c>
      <c r="DB281" s="273">
        <v>14136.561954624782</v>
      </c>
      <c r="DC281" s="124"/>
      <c r="DD281" s="117">
        <v>16456</v>
      </c>
      <c r="DE281" s="117">
        <v>28863</v>
      </c>
      <c r="DF281" s="117">
        <v>9</v>
      </c>
      <c r="DG281" s="117">
        <v>-12398</v>
      </c>
      <c r="DH281" s="117">
        <v>9020</v>
      </c>
      <c r="DI281" s="117">
        <v>6704</v>
      </c>
      <c r="DJ281" s="136"/>
      <c r="DL281" s="160">
        <v>-208</v>
      </c>
      <c r="DM281" s="160">
        <v>4</v>
      </c>
      <c r="DN281" s="161">
        <v>3122</v>
      </c>
      <c r="DO281" s="116">
        <v>1273</v>
      </c>
      <c r="DP281" s="161">
        <v>0</v>
      </c>
      <c r="DQ281" s="117"/>
      <c r="DR281" s="161">
        <v>1849</v>
      </c>
      <c r="DS281" s="116">
        <v>-2</v>
      </c>
      <c r="DT281" s="117">
        <v>0</v>
      </c>
      <c r="DU281" s="116">
        <v>0</v>
      </c>
      <c r="DV281" s="116">
        <v>0</v>
      </c>
      <c r="DW281" s="160">
        <v>1847</v>
      </c>
      <c r="DX281" s="160">
        <v>-1325</v>
      </c>
      <c r="DY281" s="116">
        <v>2707</v>
      </c>
      <c r="DZ281" s="150"/>
      <c r="EA281" s="117">
        <v>-378</v>
      </c>
      <c r="EB281" s="116">
        <v>-2321</v>
      </c>
      <c r="EC281" s="159">
        <v>2161</v>
      </c>
      <c r="EE281" s="125"/>
      <c r="EF281" s="161"/>
      <c r="EG281" s="124"/>
      <c r="EH281" s="253">
        <v>22.25</v>
      </c>
      <c r="EI281" s="130"/>
      <c r="EJ281" s="125">
        <v>42</v>
      </c>
      <c r="EK281" s="116"/>
      <c r="EL281" s="159"/>
      <c r="EN281" s="116"/>
      <c r="EO281" s="116"/>
      <c r="EP281" s="159"/>
      <c r="EQ281" s="159">
        <v>-6215</v>
      </c>
      <c r="ER281" s="116">
        <v>116</v>
      </c>
      <c r="ES281" s="116">
        <v>110</v>
      </c>
      <c r="ET281" s="160">
        <v>-3727</v>
      </c>
      <c r="EU281" s="116">
        <v>50</v>
      </c>
      <c r="EV281" s="116">
        <v>67</v>
      </c>
      <c r="EW281" s="160">
        <v>-1000</v>
      </c>
      <c r="EX281" s="160">
        <v>24</v>
      </c>
      <c r="EY281" s="160">
        <v>430</v>
      </c>
      <c r="EZ281" s="116">
        <v>5614</v>
      </c>
      <c r="FA281" s="116">
        <v>6</v>
      </c>
      <c r="FB281" s="116">
        <v>5128</v>
      </c>
      <c r="FC281" s="160">
        <v>334</v>
      </c>
      <c r="FD281" s="116">
        <v>163</v>
      </c>
      <c r="FE281" s="116">
        <v>63</v>
      </c>
      <c r="FF281" s="3">
        <v>16131</v>
      </c>
      <c r="FG281" s="3">
        <v>15599</v>
      </c>
      <c r="FH281" s="3">
        <v>532</v>
      </c>
      <c r="FI281" s="3">
        <v>2</v>
      </c>
      <c r="FJ281" s="125">
        <v>20934</v>
      </c>
      <c r="FK281" s="160">
        <v>20054</v>
      </c>
      <c r="FL281" s="125">
        <v>880</v>
      </c>
      <c r="FM281" s="116">
        <v>2</v>
      </c>
      <c r="FN281" s="125">
        <v>18866</v>
      </c>
      <c r="FO281" s="116">
        <v>17876</v>
      </c>
      <c r="FP281" s="116">
        <v>990</v>
      </c>
      <c r="FQ281" s="116">
        <v>-378</v>
      </c>
      <c r="FR281" s="153">
        <v>2</v>
      </c>
      <c r="FS281" s="153">
        <v>518</v>
      </c>
      <c r="FT281" s="276">
        <v>303</v>
      </c>
      <c r="FU281" s="3">
        <v>1779</v>
      </c>
      <c r="FV281" s="159">
        <v>1946</v>
      </c>
      <c r="FW281" s="170"/>
      <c r="FZ281" s="155"/>
      <c r="GA281" s="2"/>
      <c r="GD281" s="163"/>
      <c r="GE281" s="2"/>
      <c r="GF281" s="2"/>
    </row>
    <row r="282" spans="1:188" ht="14.5" x14ac:dyDescent="0.35">
      <c r="A282" s="72">
        <v>921</v>
      </c>
      <c r="B282" s="70" t="s">
        <v>271</v>
      </c>
      <c r="C282" s="158">
        <v>2058</v>
      </c>
      <c r="D282" s="171"/>
      <c r="E282" s="128">
        <v>1.1793635486981677</v>
      </c>
      <c r="F282" s="128">
        <v>59.837720879913448</v>
      </c>
      <c r="G282" s="129">
        <v>-6476.6763848396504</v>
      </c>
      <c r="H282" s="216"/>
      <c r="I282" s="172"/>
      <c r="J282" s="218"/>
      <c r="K282" s="128">
        <v>39.183560122188283</v>
      </c>
      <c r="L282" s="129">
        <v>884.83965014577257</v>
      </c>
      <c r="M282" s="129">
        <v>23.825680180664587</v>
      </c>
      <c r="N282" s="129">
        <v>13555.393586005832</v>
      </c>
      <c r="O282" s="129"/>
      <c r="P282" s="117">
        <v>11532</v>
      </c>
      <c r="Q282" s="161">
        <v>26779</v>
      </c>
      <c r="R282" s="161">
        <v>29</v>
      </c>
      <c r="S282" s="161">
        <v>-15218</v>
      </c>
      <c r="T282" s="124">
        <v>6027</v>
      </c>
      <c r="U282" s="124">
        <v>10171</v>
      </c>
      <c r="V282" s="136"/>
      <c r="X282" s="116">
        <v>-174</v>
      </c>
      <c r="Y282" s="116">
        <v>235</v>
      </c>
      <c r="Z282" s="161">
        <v>1041</v>
      </c>
      <c r="AA282" s="116">
        <v>2306</v>
      </c>
      <c r="AB282" s="116">
        <v>-36</v>
      </c>
      <c r="AD282" s="161">
        <v>-1301</v>
      </c>
      <c r="AE282" s="116">
        <v>-2</v>
      </c>
      <c r="AF282" s="116">
        <v>-59</v>
      </c>
      <c r="AG282" s="116">
        <v>-2</v>
      </c>
      <c r="AH282" s="116">
        <v>-13</v>
      </c>
      <c r="AI282" s="160">
        <v>-1377</v>
      </c>
      <c r="AJ282" s="161">
        <v>110</v>
      </c>
      <c r="AK282" s="161">
        <v>45</v>
      </c>
      <c r="AL282" s="150"/>
      <c r="AM282" s="161">
        <v>413</v>
      </c>
      <c r="AN282" s="161">
        <v>-855</v>
      </c>
      <c r="AO282" s="160">
        <v>88</v>
      </c>
      <c r="AQ282" s="160"/>
      <c r="AR282" s="117"/>
      <c r="AS282" s="117"/>
      <c r="AT282" s="99">
        <v>21.5</v>
      </c>
      <c r="AU282" s="130"/>
      <c r="AV282" s="262">
        <v>139</v>
      </c>
      <c r="AW282" s="267">
        <v>2014</v>
      </c>
      <c r="AX282" s="124"/>
      <c r="AY282" s="255">
        <v>1.5215146299483648</v>
      </c>
      <c r="AZ282" s="259">
        <v>63.878573746259512</v>
      </c>
      <c r="BA282" s="160">
        <v>-7242.3038728897718</v>
      </c>
      <c r="BB282" s="130"/>
      <c r="BC282" s="130"/>
      <c r="BD282" s="130"/>
      <c r="BE282" s="128">
        <v>37.736493408920154</v>
      </c>
      <c r="BF282" s="160">
        <v>974.28243398392658</v>
      </c>
      <c r="BG282" s="129">
        <v>21.570743002886097</v>
      </c>
      <c r="BH282" s="131">
        <v>14795.431976166832</v>
      </c>
      <c r="BI282" s="124"/>
      <c r="BJ282" s="117">
        <v>11845</v>
      </c>
      <c r="BK282" s="117">
        <v>27129</v>
      </c>
      <c r="BL282" s="161">
        <v>21</v>
      </c>
      <c r="BM282" s="161">
        <v>-15263</v>
      </c>
      <c r="BN282" s="117">
        <v>5883</v>
      </c>
      <c r="BO282" s="117">
        <v>10009</v>
      </c>
      <c r="BP282" s="136"/>
      <c r="BR282" s="160">
        <v>-135</v>
      </c>
      <c r="BS282" s="160">
        <v>244</v>
      </c>
      <c r="BT282" s="161">
        <v>738</v>
      </c>
      <c r="BU282" s="125">
        <v>1333</v>
      </c>
      <c r="BV282" s="160">
        <v>-268</v>
      </c>
      <c r="BX282" s="161">
        <v>-863</v>
      </c>
      <c r="BY282" s="160">
        <v>-10</v>
      </c>
      <c r="BZ282" s="160">
        <v>-2</v>
      </c>
      <c r="CA282" s="160">
        <v>-4</v>
      </c>
      <c r="CB282" s="160">
        <v>-2</v>
      </c>
      <c r="CC282" s="160">
        <v>-873</v>
      </c>
      <c r="CD282" s="160">
        <v>-564</v>
      </c>
      <c r="CE282" s="116">
        <v>187</v>
      </c>
      <c r="CF282" s="150"/>
      <c r="CG282" s="160">
        <v>120</v>
      </c>
      <c r="CH282" s="160">
        <v>-435</v>
      </c>
      <c r="CI282" s="159">
        <v>-1440</v>
      </c>
      <c r="CK282" s="124"/>
      <c r="CL282" s="161"/>
      <c r="CM282" s="124"/>
      <c r="CN282" s="265">
        <v>21.5</v>
      </c>
      <c r="CO282" s="130"/>
      <c r="CP282" s="116">
        <v>176</v>
      </c>
      <c r="CQ282" s="267">
        <v>1972</v>
      </c>
      <c r="CR282" s="124"/>
      <c r="CS282" s="268">
        <v>1.8751962323390894</v>
      </c>
      <c r="CT282" s="269">
        <v>62.09543778957692</v>
      </c>
      <c r="CU282" s="160">
        <v>-6813.8945233265722</v>
      </c>
      <c r="CV282" s="130"/>
      <c r="CW282" s="130"/>
      <c r="CX282" s="130"/>
      <c r="CY282" s="269">
        <v>39.505504995863298</v>
      </c>
      <c r="CZ282" s="125">
        <v>1543.1034482758621</v>
      </c>
      <c r="DA282" s="125">
        <v>36.467642906392619</v>
      </c>
      <c r="DB282" s="273">
        <v>15444.726166328601</v>
      </c>
      <c r="DC282" s="124"/>
      <c r="DD282" s="117">
        <v>11973</v>
      </c>
      <c r="DE282" s="117">
        <v>27469</v>
      </c>
      <c r="DF282" s="117">
        <v>50</v>
      </c>
      <c r="DG282" s="117">
        <v>-15446</v>
      </c>
      <c r="DH282" s="117">
        <v>6265</v>
      </c>
      <c r="DI282" s="117">
        <v>11331</v>
      </c>
      <c r="DJ282" s="136"/>
      <c r="DL282" s="160">
        <v>-151</v>
      </c>
      <c r="DM282" s="160">
        <v>233</v>
      </c>
      <c r="DN282" s="161">
        <v>2232</v>
      </c>
      <c r="DO282" s="116">
        <v>1398</v>
      </c>
      <c r="DP282" s="160">
        <v>11</v>
      </c>
      <c r="DR282" s="161">
        <v>845</v>
      </c>
      <c r="DS282" s="116">
        <v>-5</v>
      </c>
      <c r="DT282" s="116">
        <v>1</v>
      </c>
      <c r="DU282" s="116">
        <v>2</v>
      </c>
      <c r="DV282" s="116">
        <v>-2</v>
      </c>
      <c r="DW282" s="160">
        <v>837</v>
      </c>
      <c r="DX282" s="160">
        <v>814</v>
      </c>
      <c r="DY282" s="116">
        <v>2271</v>
      </c>
      <c r="DZ282" s="150"/>
      <c r="EA282" s="116">
        <v>-436</v>
      </c>
      <c r="EB282" s="116">
        <v>-1117</v>
      </c>
      <c r="EC282" s="159">
        <v>662</v>
      </c>
      <c r="EE282" s="125"/>
      <c r="EF282" s="161"/>
      <c r="EG282" s="124"/>
      <c r="EH282" s="253">
        <v>21.5</v>
      </c>
      <c r="EI282" s="130"/>
      <c r="EJ282" s="125">
        <v>97</v>
      </c>
      <c r="EK282" s="116"/>
      <c r="EL282" s="159"/>
      <c r="EN282" s="116"/>
      <c r="EO282" s="116"/>
      <c r="EP282" s="159"/>
      <c r="EQ282" s="159">
        <v>-62</v>
      </c>
      <c r="ER282" s="116">
        <v>17</v>
      </c>
      <c r="ES282" s="116">
        <v>88</v>
      </c>
      <c r="ET282" s="160">
        <v>-2084</v>
      </c>
      <c r="EU282" s="116">
        <v>24</v>
      </c>
      <c r="EV282" s="116">
        <v>433</v>
      </c>
      <c r="EW282" s="160">
        <v>-1701</v>
      </c>
      <c r="EX282" s="160">
        <v>12</v>
      </c>
      <c r="EY282" s="160">
        <v>80</v>
      </c>
      <c r="EZ282" s="116">
        <v>714</v>
      </c>
      <c r="FA282" s="116">
        <v>0</v>
      </c>
      <c r="FB282" s="116">
        <v>229</v>
      </c>
      <c r="FC282" s="160">
        <v>1007</v>
      </c>
      <c r="FD282" s="116">
        <v>2747</v>
      </c>
      <c r="FE282" s="116">
        <v>-983</v>
      </c>
      <c r="FF282" s="3">
        <v>13371</v>
      </c>
      <c r="FG282" s="3">
        <v>12363</v>
      </c>
      <c r="FH282" s="3">
        <v>1008</v>
      </c>
      <c r="FI282" s="3">
        <v>50</v>
      </c>
      <c r="FJ282" s="125">
        <v>14179</v>
      </c>
      <c r="FK282" s="160">
        <v>12140</v>
      </c>
      <c r="FL282" s="125">
        <v>2039</v>
      </c>
      <c r="FM282" s="116">
        <v>50</v>
      </c>
      <c r="FN282" s="125">
        <v>13562</v>
      </c>
      <c r="FO282" s="116">
        <v>13562</v>
      </c>
      <c r="FP282" s="116">
        <v>0</v>
      </c>
      <c r="FQ282" s="116">
        <v>-436</v>
      </c>
      <c r="FR282" s="153">
        <v>1258</v>
      </c>
      <c r="FS282" s="153">
        <v>1221</v>
      </c>
      <c r="FT282" s="276">
        <v>743</v>
      </c>
      <c r="FU282" s="3">
        <v>960</v>
      </c>
      <c r="FV282" s="159">
        <v>944</v>
      </c>
      <c r="FW282" s="170"/>
      <c r="FZ282" s="155"/>
      <c r="GA282" s="2"/>
      <c r="GD282" s="163"/>
      <c r="GE282" s="2"/>
      <c r="GF282" s="2"/>
    </row>
    <row r="283" spans="1:188" ht="14.5" x14ac:dyDescent="0.35">
      <c r="A283" s="72">
        <v>922</v>
      </c>
      <c r="B283" s="70" t="s">
        <v>272</v>
      </c>
      <c r="C283" s="158">
        <v>4393</v>
      </c>
      <c r="D283" s="171"/>
      <c r="E283" s="128">
        <v>0.12243629583592293</v>
      </c>
      <c r="F283" s="128">
        <v>68.376068376068375</v>
      </c>
      <c r="G283" s="129">
        <v>-4316.6401092647393</v>
      </c>
      <c r="H283" s="216"/>
      <c r="I283" s="172"/>
      <c r="J283" s="218"/>
      <c r="K283" s="128">
        <v>29.444410747861951</v>
      </c>
      <c r="L283" s="129">
        <v>278.85272023674031</v>
      </c>
      <c r="M283" s="129">
        <v>11.956172955049871</v>
      </c>
      <c r="N283" s="129">
        <v>8512.8613703619394</v>
      </c>
      <c r="O283" s="129"/>
      <c r="P283" s="117">
        <v>9440</v>
      </c>
      <c r="Q283" s="161">
        <v>33147</v>
      </c>
      <c r="R283" s="161">
        <v>1</v>
      </c>
      <c r="S283" s="161">
        <v>-23706</v>
      </c>
      <c r="T283" s="124">
        <v>16233</v>
      </c>
      <c r="U283" s="124">
        <v>7555</v>
      </c>
      <c r="V283" s="136"/>
      <c r="X283" s="116">
        <v>-50</v>
      </c>
      <c r="Y283" s="116">
        <v>109</v>
      </c>
      <c r="Z283" s="161">
        <v>141</v>
      </c>
      <c r="AA283" s="116">
        <v>1792</v>
      </c>
      <c r="AB283" s="116">
        <v>0</v>
      </c>
      <c r="AD283" s="161">
        <v>-1651</v>
      </c>
      <c r="AE283" s="117">
        <v>-22</v>
      </c>
      <c r="AF283" s="117">
        <v>0</v>
      </c>
      <c r="AG283" s="116">
        <v>-15</v>
      </c>
      <c r="AH283" s="116">
        <v>0</v>
      </c>
      <c r="AI283" s="160">
        <v>-1688</v>
      </c>
      <c r="AJ283" s="161">
        <v>1042</v>
      </c>
      <c r="AK283" s="161">
        <v>116</v>
      </c>
      <c r="AL283" s="150"/>
      <c r="AM283" s="161">
        <v>-260</v>
      </c>
      <c r="AN283" s="161">
        <v>-1553</v>
      </c>
      <c r="AO283" s="160">
        <v>-1989</v>
      </c>
      <c r="AQ283" s="160"/>
      <c r="AR283" s="117"/>
      <c r="AS283" s="117"/>
      <c r="AT283" s="99">
        <v>21.5</v>
      </c>
      <c r="AU283" s="130"/>
      <c r="AV283" s="262">
        <v>281</v>
      </c>
      <c r="AW283" s="267">
        <v>4355</v>
      </c>
      <c r="AX283" s="124"/>
      <c r="AY283" s="255">
        <v>1.5212027756360833</v>
      </c>
      <c r="AZ283" s="259">
        <v>72.508347954043799</v>
      </c>
      <c r="BA283" s="160">
        <v>-4264.2939150401835</v>
      </c>
      <c r="BB283" s="130"/>
      <c r="BC283" s="130"/>
      <c r="BD283" s="130"/>
      <c r="BE283" s="128">
        <v>27.603338078093167</v>
      </c>
      <c r="BF283" s="160">
        <v>1194.6050096339113</v>
      </c>
      <c r="BG283" s="129">
        <v>12.317493112947659</v>
      </c>
      <c r="BH283" s="131">
        <v>8335.2468427095282</v>
      </c>
      <c r="BI283" s="124"/>
      <c r="BJ283" s="117">
        <v>9862</v>
      </c>
      <c r="BK283" s="117">
        <v>33452</v>
      </c>
      <c r="BL283" s="161">
        <v>8</v>
      </c>
      <c r="BM283" s="161">
        <v>-23582</v>
      </c>
      <c r="BN283" s="117">
        <v>16961</v>
      </c>
      <c r="BO283" s="117">
        <v>8515</v>
      </c>
      <c r="BP283" s="136"/>
      <c r="BR283" s="160">
        <v>-79</v>
      </c>
      <c r="BS283" s="160">
        <v>74</v>
      </c>
      <c r="BT283" s="161">
        <v>1889</v>
      </c>
      <c r="BU283" s="125">
        <v>1819</v>
      </c>
      <c r="BV283" s="160">
        <v>0</v>
      </c>
      <c r="BX283" s="161">
        <v>70</v>
      </c>
      <c r="BY283" s="161">
        <v>-19</v>
      </c>
      <c r="BZ283" s="161">
        <v>0</v>
      </c>
      <c r="CA283" s="160">
        <v>11</v>
      </c>
      <c r="CB283" s="160">
        <v>-2</v>
      </c>
      <c r="CC283" s="160">
        <v>38</v>
      </c>
      <c r="CD283" s="160">
        <v>1079</v>
      </c>
      <c r="CE283" s="116">
        <v>1652</v>
      </c>
      <c r="CF283" s="150"/>
      <c r="CG283" s="160">
        <v>-229</v>
      </c>
      <c r="CH283" s="160">
        <v>-1213</v>
      </c>
      <c r="CI283" s="159">
        <v>372</v>
      </c>
      <c r="CK283" s="124"/>
      <c r="CL283" s="161"/>
      <c r="CM283" s="124"/>
      <c r="CN283" s="265">
        <v>21.5</v>
      </c>
      <c r="CO283" s="130"/>
      <c r="CP283" s="116">
        <v>149</v>
      </c>
      <c r="CQ283" s="267">
        <v>4367</v>
      </c>
      <c r="CR283" s="124"/>
      <c r="CS283" s="268">
        <v>2.6209439528023597</v>
      </c>
      <c r="CT283" s="269">
        <v>61.905401412801162</v>
      </c>
      <c r="CU283" s="160">
        <v>-3899.4733226471262</v>
      </c>
      <c r="CV283" s="130"/>
      <c r="CW283" s="130"/>
      <c r="CX283" s="130"/>
      <c r="CY283" s="269">
        <v>32.850366537300559</v>
      </c>
      <c r="CZ283" s="125">
        <v>737.11930386993367</v>
      </c>
      <c r="DA283" s="125">
        <v>31.760150294642372</v>
      </c>
      <c r="DB283" s="273">
        <v>8471.2617357453637</v>
      </c>
      <c r="DC283" s="124"/>
      <c r="DD283" s="117">
        <v>10141</v>
      </c>
      <c r="DE283" s="117">
        <v>33727</v>
      </c>
      <c r="DF283" s="117">
        <v>18</v>
      </c>
      <c r="DG283" s="117">
        <v>-23568</v>
      </c>
      <c r="DH283" s="117">
        <v>17940</v>
      </c>
      <c r="DI283" s="117">
        <v>9150</v>
      </c>
      <c r="DJ283" s="136"/>
      <c r="DL283" s="160">
        <v>-102</v>
      </c>
      <c r="DM283" s="160">
        <v>26</v>
      </c>
      <c r="DN283" s="161">
        <v>3446</v>
      </c>
      <c r="DO283" s="116">
        <v>1873</v>
      </c>
      <c r="DP283" s="160">
        <v>0</v>
      </c>
      <c r="DR283" s="161">
        <v>1573</v>
      </c>
      <c r="DS283" s="117">
        <v>-69</v>
      </c>
      <c r="DT283" s="117">
        <v>0</v>
      </c>
      <c r="DU283" s="116">
        <v>36</v>
      </c>
      <c r="DV283" s="116">
        <v>0</v>
      </c>
      <c r="DW283" s="160">
        <v>1468</v>
      </c>
      <c r="DX283" s="160">
        <v>2547</v>
      </c>
      <c r="DY283" s="116">
        <v>3286</v>
      </c>
      <c r="DZ283" s="150"/>
      <c r="EA283" s="116">
        <v>4</v>
      </c>
      <c r="EB283" s="116">
        <v>-1248</v>
      </c>
      <c r="EC283" s="159">
        <v>1557</v>
      </c>
      <c r="EE283" s="125"/>
      <c r="EF283" s="161"/>
      <c r="EG283" s="124"/>
      <c r="EH283" s="253">
        <v>22</v>
      </c>
      <c r="EI283" s="130"/>
      <c r="EJ283" s="125">
        <v>225</v>
      </c>
      <c r="EK283" s="116"/>
      <c r="EL283" s="159"/>
      <c r="EN283" s="116"/>
      <c r="EO283" s="116"/>
      <c r="EP283" s="159"/>
      <c r="EQ283" s="159">
        <v>-2564</v>
      </c>
      <c r="ER283" s="116">
        <v>398</v>
      </c>
      <c r="ES283" s="116">
        <v>61</v>
      </c>
      <c r="ET283" s="160">
        <v>-1515</v>
      </c>
      <c r="EU283" s="116">
        <v>2</v>
      </c>
      <c r="EV283" s="116">
        <v>233</v>
      </c>
      <c r="EW283" s="160">
        <v>-1847</v>
      </c>
      <c r="EX283" s="160">
        <v>4</v>
      </c>
      <c r="EY283" s="160">
        <v>114</v>
      </c>
      <c r="EZ283" s="116">
        <v>749</v>
      </c>
      <c r="FA283" s="116">
        <v>1791</v>
      </c>
      <c r="FB283" s="116">
        <v>4616</v>
      </c>
      <c r="FC283" s="160">
        <v>1</v>
      </c>
      <c r="FD283" s="116">
        <v>8179</v>
      </c>
      <c r="FE283" s="116">
        <v>-10068</v>
      </c>
      <c r="FF283" s="3">
        <v>16215</v>
      </c>
      <c r="FG283" s="3">
        <v>5115</v>
      </c>
      <c r="FH283" s="3">
        <v>11100</v>
      </c>
      <c r="FI283" s="3">
        <v>58</v>
      </c>
      <c r="FJ283" s="125">
        <v>19618</v>
      </c>
      <c r="FK283" s="160">
        <v>8480</v>
      </c>
      <c r="FL283" s="125">
        <v>11138</v>
      </c>
      <c r="FM283" s="116">
        <v>7</v>
      </c>
      <c r="FN283" s="125">
        <v>16563</v>
      </c>
      <c r="FO283" s="116">
        <v>15058</v>
      </c>
      <c r="FP283" s="116">
        <v>1505</v>
      </c>
      <c r="FQ283" s="116">
        <v>4</v>
      </c>
      <c r="FR283" s="153">
        <v>396</v>
      </c>
      <c r="FS283" s="153">
        <v>345</v>
      </c>
      <c r="FT283" s="276">
        <v>272</v>
      </c>
      <c r="FU283" s="3">
        <v>2669</v>
      </c>
      <c r="FV283" s="159">
        <v>2662</v>
      </c>
      <c r="FW283" s="170"/>
      <c r="FZ283" s="155"/>
      <c r="GA283" s="2"/>
      <c r="GD283" s="163"/>
      <c r="GE283" s="2"/>
      <c r="GF283" s="2"/>
    </row>
    <row r="284" spans="1:188" ht="14.5" x14ac:dyDescent="0.35">
      <c r="A284" s="72">
        <v>924</v>
      </c>
      <c r="B284" s="70" t="s">
        <v>273</v>
      </c>
      <c r="C284" s="158">
        <v>3166</v>
      </c>
      <c r="D284" s="171"/>
      <c r="E284" s="128">
        <v>0.41217150760719223</v>
      </c>
      <c r="F284" s="128">
        <v>90.99822380106572</v>
      </c>
      <c r="G284" s="129">
        <v>-9252.3689197725835</v>
      </c>
      <c r="H284" s="216"/>
      <c r="I284" s="172"/>
      <c r="J284" s="218"/>
      <c r="K284" s="128">
        <v>19.461330805530942</v>
      </c>
      <c r="L284" s="129">
        <v>1702.7795325331649</v>
      </c>
      <c r="M284" s="129">
        <v>37.997779279714202</v>
      </c>
      <c r="N284" s="129">
        <v>16356.601389766265</v>
      </c>
      <c r="O284" s="129"/>
      <c r="P284" s="117">
        <v>21374</v>
      </c>
      <c r="Q284" s="161">
        <v>41753</v>
      </c>
      <c r="R284" s="161">
        <v>2</v>
      </c>
      <c r="S284" s="161">
        <v>-20377</v>
      </c>
      <c r="T284" s="124">
        <v>10086</v>
      </c>
      <c r="U284" s="124">
        <v>10765</v>
      </c>
      <c r="V284" s="136"/>
      <c r="X284" s="116">
        <v>-178</v>
      </c>
      <c r="Y284" s="116">
        <v>101</v>
      </c>
      <c r="Z284" s="161">
        <v>397</v>
      </c>
      <c r="AA284" s="116">
        <v>2413</v>
      </c>
      <c r="AB284" s="117">
        <v>1</v>
      </c>
      <c r="AD284" s="161">
        <v>-2015</v>
      </c>
      <c r="AE284" s="116">
        <v>-3</v>
      </c>
      <c r="AF284" s="116">
        <v>-53</v>
      </c>
      <c r="AG284" s="116">
        <v>-27</v>
      </c>
      <c r="AH284" s="116">
        <v>0</v>
      </c>
      <c r="AI284" s="160">
        <v>-2098</v>
      </c>
      <c r="AJ284" s="161">
        <v>977</v>
      </c>
      <c r="AK284" s="161">
        <v>164</v>
      </c>
      <c r="AL284" s="150"/>
      <c r="AM284" s="161">
        <v>-241</v>
      </c>
      <c r="AN284" s="161">
        <v>-1247</v>
      </c>
      <c r="AO284" s="160">
        <v>-5998</v>
      </c>
      <c r="AQ284" s="160"/>
      <c r="AR284" s="117"/>
      <c r="AS284" s="117"/>
      <c r="AT284" s="99">
        <v>22</v>
      </c>
      <c r="AU284" s="130"/>
      <c r="AV284" s="262">
        <v>271</v>
      </c>
      <c r="AW284" s="267">
        <v>3114</v>
      </c>
      <c r="AX284" s="124"/>
      <c r="AY284" s="255">
        <v>0.73895419537900286</v>
      </c>
      <c r="AZ284" s="259">
        <v>81.785787239837489</v>
      </c>
      <c r="BA284" s="160">
        <v>-9423.2498394348095</v>
      </c>
      <c r="BB284" s="130"/>
      <c r="BC284" s="130"/>
      <c r="BD284" s="130"/>
      <c r="BE284" s="128">
        <v>18.437278211497517</v>
      </c>
      <c r="BF284" s="160">
        <v>2775.0768371053364</v>
      </c>
      <c r="BG284" s="129">
        <v>41.55505575266092</v>
      </c>
      <c r="BH284" s="131">
        <v>15206.16570327553</v>
      </c>
      <c r="BI284" s="124"/>
      <c r="BJ284" s="117">
        <v>22855</v>
      </c>
      <c r="BK284" s="117">
        <v>42402</v>
      </c>
      <c r="BL284" s="161">
        <v>3</v>
      </c>
      <c r="BM284" s="161">
        <v>-19544</v>
      </c>
      <c r="BN284" s="117">
        <v>10144</v>
      </c>
      <c r="BO284" s="117">
        <v>11060</v>
      </c>
      <c r="BP284" s="136"/>
      <c r="BR284" s="160">
        <v>-133</v>
      </c>
      <c r="BS284" s="160">
        <v>151</v>
      </c>
      <c r="BT284" s="161">
        <v>1678</v>
      </c>
      <c r="BU284" s="125">
        <v>2647</v>
      </c>
      <c r="BV284" s="161">
        <v>0</v>
      </c>
      <c r="BX284" s="161">
        <v>-969</v>
      </c>
      <c r="BY284" s="160">
        <v>-4</v>
      </c>
      <c r="BZ284" s="160">
        <v>235</v>
      </c>
      <c r="CA284" s="160">
        <v>1</v>
      </c>
      <c r="CB284" s="160">
        <v>-110</v>
      </c>
      <c r="CC284" s="160">
        <v>-849</v>
      </c>
      <c r="CD284" s="160">
        <v>-31</v>
      </c>
      <c r="CE284" s="116">
        <v>1459</v>
      </c>
      <c r="CF284" s="150"/>
      <c r="CG284" s="161">
        <v>2061</v>
      </c>
      <c r="CH284" s="160">
        <v>-2322</v>
      </c>
      <c r="CI284" s="159">
        <v>-711</v>
      </c>
      <c r="CK284" s="124"/>
      <c r="CL284" s="161"/>
      <c r="CM284" s="124"/>
      <c r="CN284" s="265">
        <v>22</v>
      </c>
      <c r="CO284" s="130"/>
      <c r="CP284" s="116">
        <v>107</v>
      </c>
      <c r="CQ284" s="267">
        <v>3065</v>
      </c>
      <c r="CR284" s="124"/>
      <c r="CS284" s="268">
        <v>0.36982065553494126</v>
      </c>
      <c r="CT284" s="269">
        <v>85.06126725276728</v>
      </c>
      <c r="CU284" s="160">
        <v>-9719.0864600326258</v>
      </c>
      <c r="CV284" s="130"/>
      <c r="CW284" s="130"/>
      <c r="CX284" s="130"/>
      <c r="CY284" s="269">
        <v>18.57963312189268</v>
      </c>
      <c r="CZ284" s="125">
        <v>1565.0897226753671</v>
      </c>
      <c r="DA284" s="125">
        <v>34.158001521683993</v>
      </c>
      <c r="DB284" s="273">
        <v>16723.980424143556</v>
      </c>
      <c r="DC284" s="124"/>
      <c r="DD284" s="117">
        <v>20826</v>
      </c>
      <c r="DE284" s="117">
        <v>41565</v>
      </c>
      <c r="DF284" s="117">
        <v>2</v>
      </c>
      <c r="DG284" s="117">
        <v>-20737</v>
      </c>
      <c r="DH284" s="117">
        <v>10163</v>
      </c>
      <c r="DI284" s="117">
        <v>12917</v>
      </c>
      <c r="DJ284" s="136"/>
      <c r="DL284" s="160">
        <v>-115</v>
      </c>
      <c r="DM284" s="160">
        <v>24</v>
      </c>
      <c r="DN284" s="161">
        <v>2252</v>
      </c>
      <c r="DO284" s="116">
        <v>2406</v>
      </c>
      <c r="DP284" s="161">
        <v>0</v>
      </c>
      <c r="DR284" s="161">
        <v>-154</v>
      </c>
      <c r="DS284" s="116">
        <v>-5</v>
      </c>
      <c r="DT284" s="116">
        <v>-23</v>
      </c>
      <c r="DU284" s="116">
        <v>0</v>
      </c>
      <c r="DV284" s="116">
        <v>0</v>
      </c>
      <c r="DW284" s="160">
        <v>-182</v>
      </c>
      <c r="DX284" s="160">
        <v>-213</v>
      </c>
      <c r="DY284" s="116">
        <v>2166</v>
      </c>
      <c r="DZ284" s="150"/>
      <c r="EA284" s="117">
        <v>3868</v>
      </c>
      <c r="EB284" s="116">
        <v>-6328</v>
      </c>
      <c r="EC284" s="159">
        <v>-841</v>
      </c>
      <c r="EE284" s="125"/>
      <c r="EF284" s="161"/>
      <c r="EG284" s="124"/>
      <c r="EH284" s="253">
        <v>22.5</v>
      </c>
      <c r="EI284" s="130"/>
      <c r="EJ284" s="125">
        <v>244</v>
      </c>
      <c r="EK284" s="116"/>
      <c r="EL284" s="159"/>
      <c r="EN284" s="116"/>
      <c r="EO284" s="116"/>
      <c r="EP284" s="159"/>
      <c r="EQ284" s="159">
        <v>-8566</v>
      </c>
      <c r="ER284" s="116">
        <v>141</v>
      </c>
      <c r="ES284" s="116">
        <v>2263</v>
      </c>
      <c r="ET284" s="160">
        <v>-2408</v>
      </c>
      <c r="EU284" s="116">
        <v>0</v>
      </c>
      <c r="EV284" s="116">
        <v>238</v>
      </c>
      <c r="EW284" s="160">
        <v>-3132</v>
      </c>
      <c r="EX284" s="160">
        <v>7</v>
      </c>
      <c r="EY284" s="160">
        <v>118</v>
      </c>
      <c r="EZ284" s="116">
        <v>4185</v>
      </c>
      <c r="FA284" s="116">
        <v>2098</v>
      </c>
      <c r="FB284" s="116">
        <v>3775</v>
      </c>
      <c r="FC284" s="160">
        <v>-2503</v>
      </c>
      <c r="FD284" s="116">
        <v>3169</v>
      </c>
      <c r="FE284" s="116">
        <v>1040</v>
      </c>
      <c r="FF284" s="3">
        <v>29430</v>
      </c>
      <c r="FG284" s="3">
        <v>17413</v>
      </c>
      <c r="FH284" s="3">
        <v>12017</v>
      </c>
      <c r="FI284" s="3">
        <v>18</v>
      </c>
      <c r="FJ284" s="125">
        <v>28641</v>
      </c>
      <c r="FK284" s="160">
        <v>18800</v>
      </c>
      <c r="FL284" s="125">
        <v>9841</v>
      </c>
      <c r="FM284" s="116">
        <v>18</v>
      </c>
      <c r="FN284" s="125">
        <v>29328</v>
      </c>
      <c r="FO284" s="116">
        <v>18241</v>
      </c>
      <c r="FP284" s="116">
        <v>11087</v>
      </c>
      <c r="FQ284" s="116">
        <v>3868</v>
      </c>
      <c r="FR284" s="153">
        <v>534</v>
      </c>
      <c r="FS284" s="153">
        <v>521</v>
      </c>
      <c r="FT284" s="276">
        <v>506</v>
      </c>
      <c r="FU284" s="3">
        <v>459</v>
      </c>
      <c r="FV284" s="159">
        <v>500</v>
      </c>
      <c r="FW284" s="170"/>
      <c r="FZ284" s="155"/>
      <c r="GA284" s="2"/>
      <c r="GD284" s="163"/>
      <c r="GE284" s="2"/>
      <c r="GF284" s="2"/>
    </row>
    <row r="285" spans="1:188" ht="14.5" x14ac:dyDescent="0.35">
      <c r="A285" s="72">
        <v>925</v>
      </c>
      <c r="B285" s="70" t="s">
        <v>274</v>
      </c>
      <c r="C285" s="158">
        <v>3676</v>
      </c>
      <c r="D285" s="171"/>
      <c r="E285" s="128">
        <v>1.5559330259645716</v>
      </c>
      <c r="F285" s="128">
        <v>69.00724189380982</v>
      </c>
      <c r="G285" s="129">
        <v>-7667.3014145810666</v>
      </c>
      <c r="H285" s="216"/>
      <c r="I285" s="172"/>
      <c r="J285" s="218"/>
      <c r="K285" s="128">
        <v>35.493666638704809</v>
      </c>
      <c r="L285" s="129">
        <v>1829.7062023939063</v>
      </c>
      <c r="M285" s="129">
        <v>41.620581503772144</v>
      </c>
      <c r="N285" s="129">
        <v>16045.973884657236</v>
      </c>
      <c r="O285" s="129"/>
      <c r="P285" s="117">
        <v>30142</v>
      </c>
      <c r="Q285" s="161">
        <v>48798</v>
      </c>
      <c r="R285" s="161">
        <v>21</v>
      </c>
      <c r="S285" s="161">
        <v>-18635</v>
      </c>
      <c r="T285" s="124">
        <v>13218</v>
      </c>
      <c r="U285" s="124">
        <v>11598</v>
      </c>
      <c r="V285" s="136"/>
      <c r="X285" s="116">
        <v>-426</v>
      </c>
      <c r="Y285" s="116">
        <v>227</v>
      </c>
      <c r="Z285" s="161">
        <v>5982</v>
      </c>
      <c r="AA285" s="116">
        <v>3865</v>
      </c>
      <c r="AB285" s="116">
        <v>432</v>
      </c>
      <c r="AD285" s="161">
        <v>2549</v>
      </c>
      <c r="AE285" s="117">
        <v>-1</v>
      </c>
      <c r="AF285" s="117">
        <v>73</v>
      </c>
      <c r="AG285" s="116">
        <v>-109</v>
      </c>
      <c r="AH285" s="116">
        <v>-64</v>
      </c>
      <c r="AI285" s="160">
        <v>2448</v>
      </c>
      <c r="AJ285" s="161">
        <v>9491</v>
      </c>
      <c r="AK285" s="161">
        <v>5801</v>
      </c>
      <c r="AL285" s="150"/>
      <c r="AM285" s="161">
        <v>-683</v>
      </c>
      <c r="AN285" s="161">
        <v>-3691</v>
      </c>
      <c r="AO285" s="160">
        <v>1017</v>
      </c>
      <c r="AQ285" s="160"/>
      <c r="AR285" s="117"/>
      <c r="AS285" s="117"/>
      <c r="AT285" s="99">
        <v>21</v>
      </c>
      <c r="AU285" s="130"/>
      <c r="AV285" s="262">
        <v>3</v>
      </c>
      <c r="AW285" s="267">
        <v>3579</v>
      </c>
      <c r="AX285" s="124"/>
      <c r="AY285" s="255">
        <v>1.8221729490022174</v>
      </c>
      <c r="AZ285" s="259">
        <v>60.266759654781623</v>
      </c>
      <c r="BA285" s="160">
        <v>-6100.8661637328869</v>
      </c>
      <c r="BB285" s="130"/>
      <c r="BC285" s="130"/>
      <c r="BD285" s="130"/>
      <c r="BE285" s="128">
        <v>42.202774108322323</v>
      </c>
      <c r="BF285" s="160">
        <v>761.06042938473149</v>
      </c>
      <c r="BG285" s="129">
        <v>43.631080384594881</v>
      </c>
      <c r="BH285" s="131">
        <v>15721.430567197542</v>
      </c>
      <c r="BI285" s="124"/>
      <c r="BJ285" s="117">
        <v>32349</v>
      </c>
      <c r="BK285" s="117">
        <v>49626</v>
      </c>
      <c r="BL285" s="161">
        <v>15</v>
      </c>
      <c r="BM285" s="161">
        <v>-17262</v>
      </c>
      <c r="BN285" s="117">
        <v>14477</v>
      </c>
      <c r="BO285" s="117">
        <v>10529</v>
      </c>
      <c r="BP285" s="136"/>
      <c r="BR285" s="160">
        <v>-419</v>
      </c>
      <c r="BS285" s="160">
        <v>463</v>
      </c>
      <c r="BT285" s="161">
        <v>7788</v>
      </c>
      <c r="BU285" s="125">
        <v>3199</v>
      </c>
      <c r="BV285" s="160">
        <v>0</v>
      </c>
      <c r="BX285" s="161">
        <v>4589</v>
      </c>
      <c r="BY285" s="161">
        <v>-8</v>
      </c>
      <c r="BZ285" s="161">
        <v>-1579</v>
      </c>
      <c r="CA285" s="160">
        <v>176</v>
      </c>
      <c r="CB285" s="160">
        <v>-60</v>
      </c>
      <c r="CC285" s="160">
        <v>2766</v>
      </c>
      <c r="CD285" s="160">
        <v>12237</v>
      </c>
      <c r="CE285" s="116">
        <v>6191</v>
      </c>
      <c r="CF285" s="150"/>
      <c r="CG285" s="161">
        <v>213</v>
      </c>
      <c r="CH285" s="160">
        <v>-4080</v>
      </c>
      <c r="CI285" s="159">
        <v>6176</v>
      </c>
      <c r="CK285" s="124"/>
      <c r="CL285" s="161"/>
      <c r="CM285" s="124"/>
      <c r="CN285" s="265">
        <v>21</v>
      </c>
      <c r="CO285" s="130"/>
      <c r="CP285" s="116">
        <v>2</v>
      </c>
      <c r="CQ285" s="267">
        <v>3522</v>
      </c>
      <c r="CR285" s="124"/>
      <c r="CS285" s="268">
        <v>1.9870058059165054</v>
      </c>
      <c r="CT285" s="269">
        <v>57.65361242403781</v>
      </c>
      <c r="CU285" s="160">
        <v>-4101.0789324247589</v>
      </c>
      <c r="CV285" s="130"/>
      <c r="CW285" s="130"/>
      <c r="CX285" s="130"/>
      <c r="CY285" s="269">
        <v>45.424075531077889</v>
      </c>
      <c r="CZ285" s="125">
        <v>3732.2544009085746</v>
      </c>
      <c r="DA285" s="125">
        <v>78.062004783365609</v>
      </c>
      <c r="DB285" s="273">
        <v>17451.164111300397</v>
      </c>
      <c r="DC285" s="124"/>
      <c r="DD285" s="117">
        <v>33019</v>
      </c>
      <c r="DE285" s="117">
        <v>52410</v>
      </c>
      <c r="DF285" s="117">
        <v>22</v>
      </c>
      <c r="DG285" s="117">
        <v>-19369</v>
      </c>
      <c r="DH285" s="117">
        <v>14104</v>
      </c>
      <c r="DI285" s="117">
        <v>12117</v>
      </c>
      <c r="DJ285" s="136"/>
      <c r="DL285" s="160">
        <v>-393</v>
      </c>
      <c r="DM285" s="160">
        <v>323</v>
      </c>
      <c r="DN285" s="161">
        <v>6782</v>
      </c>
      <c r="DO285" s="116">
        <v>2504</v>
      </c>
      <c r="DP285" s="160">
        <v>-15</v>
      </c>
      <c r="DR285" s="161">
        <v>4263</v>
      </c>
      <c r="DS285" s="117">
        <v>-2</v>
      </c>
      <c r="DT285" s="117">
        <v>-2237</v>
      </c>
      <c r="DU285" s="116">
        <v>-111</v>
      </c>
      <c r="DV285" s="116">
        <v>-48</v>
      </c>
      <c r="DW285" s="160">
        <v>2087</v>
      </c>
      <c r="DX285" s="160">
        <v>13292</v>
      </c>
      <c r="DY285" s="116">
        <v>6928</v>
      </c>
      <c r="DZ285" s="150"/>
      <c r="EA285" s="117">
        <v>1593</v>
      </c>
      <c r="EB285" s="116">
        <v>-3212</v>
      </c>
      <c r="EC285" s="159">
        <v>1897</v>
      </c>
      <c r="EE285" s="125"/>
      <c r="EF285" s="161"/>
      <c r="EG285" s="124"/>
      <c r="EH285" s="253">
        <v>21</v>
      </c>
      <c r="EI285" s="130"/>
      <c r="EJ285" s="125">
        <v>6</v>
      </c>
      <c r="EK285" s="116"/>
      <c r="EL285" s="159"/>
      <c r="EN285" s="116"/>
      <c r="EO285" s="116"/>
      <c r="EP285" s="159"/>
      <c r="EQ285" s="159">
        <v>-5883</v>
      </c>
      <c r="ER285" s="116">
        <v>426</v>
      </c>
      <c r="ES285" s="116">
        <v>673</v>
      </c>
      <c r="ET285" s="160">
        <v>-2071</v>
      </c>
      <c r="EU285" s="116">
        <v>221</v>
      </c>
      <c r="EV285" s="116">
        <v>1835</v>
      </c>
      <c r="EW285" s="160">
        <v>-5446</v>
      </c>
      <c r="EX285" s="160">
        <v>126</v>
      </c>
      <c r="EY285" s="160">
        <v>289</v>
      </c>
      <c r="EZ285" s="116">
        <v>4996</v>
      </c>
      <c r="FA285" s="116">
        <v>-274</v>
      </c>
      <c r="FB285" s="116">
        <v>856</v>
      </c>
      <c r="FC285" s="160">
        <v>225</v>
      </c>
      <c r="FD285" s="116">
        <v>3024</v>
      </c>
      <c r="FE285" s="116">
        <v>-432</v>
      </c>
      <c r="FF285" s="3">
        <v>32424</v>
      </c>
      <c r="FG285" s="3">
        <v>29628</v>
      </c>
      <c r="FH285" s="3">
        <v>2796</v>
      </c>
      <c r="FI285" s="3">
        <v>5</v>
      </c>
      <c r="FJ285" s="125">
        <v>29205</v>
      </c>
      <c r="FK285" s="160">
        <v>26052</v>
      </c>
      <c r="FL285" s="125">
        <v>3153</v>
      </c>
      <c r="FM285" s="116">
        <v>14</v>
      </c>
      <c r="FN285" s="125">
        <v>28585</v>
      </c>
      <c r="FO285" s="116">
        <v>25426</v>
      </c>
      <c r="FP285" s="116">
        <v>3159</v>
      </c>
      <c r="FQ285" s="116">
        <v>1593</v>
      </c>
      <c r="FR285" s="153">
        <v>454</v>
      </c>
      <c r="FS285" s="153">
        <v>428</v>
      </c>
      <c r="FT285" s="276">
        <v>375</v>
      </c>
      <c r="FU285" s="3">
        <v>167</v>
      </c>
      <c r="FV285" s="159">
        <v>581</v>
      </c>
      <c r="FW285" s="170"/>
      <c r="FZ285" s="155"/>
      <c r="GA285" s="2"/>
      <c r="GD285" s="163"/>
      <c r="GE285" s="2"/>
      <c r="GF285" s="2"/>
    </row>
    <row r="286" spans="1:188" ht="14.5" x14ac:dyDescent="0.35">
      <c r="A286" s="72">
        <v>927</v>
      </c>
      <c r="B286" s="70" t="s">
        <v>275</v>
      </c>
      <c r="C286" s="158">
        <v>29211</v>
      </c>
      <c r="D286" s="171"/>
      <c r="E286" s="128">
        <v>0.71352032776552154</v>
      </c>
      <c r="F286" s="128">
        <v>56.804584722735562</v>
      </c>
      <c r="G286" s="129">
        <v>-3856.8689877101092</v>
      </c>
      <c r="H286" s="216"/>
      <c r="I286" s="172"/>
      <c r="J286" s="218"/>
      <c r="K286" s="128">
        <v>35.131438922223481</v>
      </c>
      <c r="L286" s="129">
        <v>672.69179418712133</v>
      </c>
      <c r="M286" s="129">
        <v>26.118139311309211</v>
      </c>
      <c r="N286" s="129">
        <v>9400.8421485056988</v>
      </c>
      <c r="O286" s="129"/>
      <c r="P286" s="117">
        <v>94596</v>
      </c>
      <c r="Q286" s="161">
        <v>237205</v>
      </c>
      <c r="R286" s="161">
        <v>-13</v>
      </c>
      <c r="S286" s="161">
        <v>-142622</v>
      </c>
      <c r="T286" s="124">
        <v>123107</v>
      </c>
      <c r="U286" s="124">
        <v>28506</v>
      </c>
      <c r="V286" s="136"/>
      <c r="X286" s="116">
        <v>-587</v>
      </c>
      <c r="Y286" s="116">
        <v>42</v>
      </c>
      <c r="Z286" s="161">
        <v>8446</v>
      </c>
      <c r="AA286" s="116">
        <v>13216</v>
      </c>
      <c r="AB286" s="116">
        <v>5</v>
      </c>
      <c r="AD286" s="161">
        <v>-4765</v>
      </c>
      <c r="AE286" s="117">
        <v>-127</v>
      </c>
      <c r="AF286" s="117">
        <v>-11</v>
      </c>
      <c r="AG286" s="116">
        <v>-123</v>
      </c>
      <c r="AH286" s="116">
        <v>3</v>
      </c>
      <c r="AI286" s="160">
        <v>-5023</v>
      </c>
      <c r="AJ286" s="161">
        <v>26095</v>
      </c>
      <c r="AK286" s="161">
        <v>6926</v>
      </c>
      <c r="AL286" s="150"/>
      <c r="AM286" s="161">
        <v>439</v>
      </c>
      <c r="AN286" s="161">
        <v>-12082</v>
      </c>
      <c r="AO286" s="160">
        <v>-15241</v>
      </c>
      <c r="AQ286" s="160"/>
      <c r="AR286" s="117"/>
      <c r="AS286" s="117"/>
      <c r="AT286" s="99">
        <v>20.5</v>
      </c>
      <c r="AU286" s="130"/>
      <c r="AV286" s="262">
        <v>222</v>
      </c>
      <c r="AW286" s="267">
        <v>29158</v>
      </c>
      <c r="AX286" s="124"/>
      <c r="AY286" s="255">
        <v>0.25092986184909671</v>
      </c>
      <c r="AZ286" s="259">
        <v>66.381899564084279</v>
      </c>
      <c r="BA286" s="160">
        <v>-4659.3730708553394</v>
      </c>
      <c r="BB286" s="130"/>
      <c r="BC286" s="130"/>
      <c r="BD286" s="130"/>
      <c r="BE286" s="128">
        <v>28.469266770670828</v>
      </c>
      <c r="BF286" s="160">
        <v>2962.4352331606215</v>
      </c>
      <c r="BG286" s="129">
        <v>24.265907453082022</v>
      </c>
      <c r="BH286" s="131">
        <v>10136.806365319981</v>
      </c>
      <c r="BI286" s="124"/>
      <c r="BJ286" s="117">
        <v>100330</v>
      </c>
      <c r="BK286" s="117">
        <v>253022</v>
      </c>
      <c r="BL286" s="161">
        <v>16</v>
      </c>
      <c r="BM286" s="161">
        <v>-152676</v>
      </c>
      <c r="BN286" s="117">
        <v>125945</v>
      </c>
      <c r="BO286" s="117">
        <v>30426</v>
      </c>
      <c r="BP286" s="136"/>
      <c r="BR286" s="160">
        <v>-659</v>
      </c>
      <c r="BS286" s="160">
        <v>39</v>
      </c>
      <c r="BT286" s="161">
        <v>3075</v>
      </c>
      <c r="BU286" s="125">
        <v>13727</v>
      </c>
      <c r="BV286" s="160">
        <v>-157</v>
      </c>
      <c r="BX286" s="161">
        <v>-10809</v>
      </c>
      <c r="BY286" s="161">
        <v>-99</v>
      </c>
      <c r="BZ286" s="160">
        <v>0</v>
      </c>
      <c r="CA286" s="160">
        <v>75</v>
      </c>
      <c r="CB286" s="160">
        <v>6</v>
      </c>
      <c r="CC286" s="160">
        <v>-10977</v>
      </c>
      <c r="CD286" s="160">
        <v>15739</v>
      </c>
      <c r="CE286" s="116">
        <v>1569</v>
      </c>
      <c r="CF286" s="150"/>
      <c r="CG286" s="161">
        <v>-4375</v>
      </c>
      <c r="CH286" s="160">
        <v>-14353</v>
      </c>
      <c r="CI286" s="159">
        <v>-19914</v>
      </c>
      <c r="CK286" s="124"/>
      <c r="CL286" s="161"/>
      <c r="CM286" s="124"/>
      <c r="CN286" s="265">
        <v>20.5</v>
      </c>
      <c r="CO286" s="130"/>
      <c r="CP286" s="116">
        <v>258</v>
      </c>
      <c r="CQ286" s="267">
        <v>29160</v>
      </c>
      <c r="CR286" s="124"/>
      <c r="CS286" s="268">
        <v>0.75519693654266962</v>
      </c>
      <c r="CT286" s="269">
        <v>60.412326187251409</v>
      </c>
      <c r="CU286" s="160">
        <v>-4377.5034293552808</v>
      </c>
      <c r="CV286" s="130"/>
      <c r="CW286" s="130"/>
      <c r="CX286" s="130"/>
      <c r="CY286" s="269">
        <v>31.237063265904897</v>
      </c>
      <c r="CZ286" s="125">
        <v>860.80246913580254</v>
      </c>
      <c r="DA286" s="125">
        <v>29.780736825681632</v>
      </c>
      <c r="DB286" s="273">
        <v>10550.205761316873</v>
      </c>
      <c r="DC286" s="124"/>
      <c r="DD286" s="117">
        <v>104169</v>
      </c>
      <c r="DE286" s="117">
        <v>255138</v>
      </c>
      <c r="DF286" s="117">
        <v>-4</v>
      </c>
      <c r="DG286" s="117">
        <v>-150973</v>
      </c>
      <c r="DH286" s="117">
        <v>128924</v>
      </c>
      <c r="DI286" s="117">
        <v>46734</v>
      </c>
      <c r="DJ286" s="136"/>
      <c r="DL286" s="160">
        <v>-592</v>
      </c>
      <c r="DM286" s="160">
        <v>64</v>
      </c>
      <c r="DN286" s="161">
        <v>24157</v>
      </c>
      <c r="DO286" s="116">
        <v>14767</v>
      </c>
      <c r="DP286" s="160">
        <v>26</v>
      </c>
      <c r="DR286" s="161">
        <v>9416</v>
      </c>
      <c r="DS286" s="117">
        <v>-43</v>
      </c>
      <c r="DT286" s="116">
        <v>-3740</v>
      </c>
      <c r="DU286" s="116">
        <v>41</v>
      </c>
      <c r="DV286" s="116">
        <v>-1</v>
      </c>
      <c r="DW286" s="160">
        <v>5591</v>
      </c>
      <c r="DX286" s="160">
        <v>21326</v>
      </c>
      <c r="DY286" s="116">
        <v>23109</v>
      </c>
      <c r="DZ286" s="150"/>
      <c r="EA286" s="117">
        <v>-3948</v>
      </c>
      <c r="EB286" s="116">
        <v>-32212</v>
      </c>
      <c r="EC286" s="159">
        <v>8100</v>
      </c>
      <c r="EE286" s="125"/>
      <c r="EF286" s="161"/>
      <c r="EG286" s="124"/>
      <c r="EH286" s="253">
        <v>20.5</v>
      </c>
      <c r="EI286" s="130"/>
      <c r="EJ286" s="125">
        <v>216</v>
      </c>
      <c r="EK286" s="116"/>
      <c r="EL286" s="159"/>
      <c r="EN286" s="116"/>
      <c r="EO286" s="116"/>
      <c r="EP286" s="159"/>
      <c r="EQ286" s="159">
        <v>-24414</v>
      </c>
      <c r="ER286" s="116">
        <v>522</v>
      </c>
      <c r="ES286" s="116">
        <v>1725</v>
      </c>
      <c r="ET286" s="160">
        <v>-23703</v>
      </c>
      <c r="EU286" s="116">
        <v>1431</v>
      </c>
      <c r="EV286" s="116">
        <v>789</v>
      </c>
      <c r="EW286" s="160">
        <v>-19350</v>
      </c>
      <c r="EX286" s="160">
        <v>179</v>
      </c>
      <c r="EY286" s="160">
        <v>4162</v>
      </c>
      <c r="EZ286" s="116">
        <v>20265</v>
      </c>
      <c r="FA286" s="116">
        <v>2009</v>
      </c>
      <c r="FB286" s="116">
        <v>3346</v>
      </c>
      <c r="FC286" s="160">
        <v>39467</v>
      </c>
      <c r="FD286" s="116">
        <v>67441</v>
      </c>
      <c r="FE286" s="116">
        <v>-41452</v>
      </c>
      <c r="FF286" s="3">
        <v>98425</v>
      </c>
      <c r="FG286" s="3">
        <v>85279</v>
      </c>
      <c r="FH286" s="3">
        <v>13146</v>
      </c>
      <c r="FI286" s="3">
        <v>1</v>
      </c>
      <c r="FJ286" s="125">
        <v>126884</v>
      </c>
      <c r="FK286" s="160">
        <v>76471</v>
      </c>
      <c r="FL286" s="125">
        <v>50413</v>
      </c>
      <c r="FM286" s="116">
        <v>3501</v>
      </c>
      <c r="FN286" s="125">
        <v>120661</v>
      </c>
      <c r="FO286" s="116">
        <v>110347</v>
      </c>
      <c r="FP286" s="116">
        <v>10314</v>
      </c>
      <c r="FQ286" s="116">
        <v>-3948</v>
      </c>
      <c r="FR286" s="153">
        <v>4195</v>
      </c>
      <c r="FS286" s="153">
        <v>2532</v>
      </c>
      <c r="FT286" s="276">
        <v>2463</v>
      </c>
      <c r="FU286" s="3">
        <v>14676</v>
      </c>
      <c r="FV286" s="159">
        <v>16423</v>
      </c>
      <c r="FW286" s="170"/>
      <c r="FZ286" s="155"/>
      <c r="GA286" s="2"/>
      <c r="GD286" s="163"/>
      <c r="GE286" s="2"/>
      <c r="GF286" s="2"/>
    </row>
    <row r="287" spans="1:188" ht="14.5" x14ac:dyDescent="0.35">
      <c r="A287" s="72">
        <v>931</v>
      </c>
      <c r="B287" s="70" t="s">
        <v>276</v>
      </c>
      <c r="C287" s="158">
        <v>6264</v>
      </c>
      <c r="D287" s="171"/>
      <c r="E287" s="128">
        <v>1.736842105263158</v>
      </c>
      <c r="F287" s="128">
        <v>66.251272435038842</v>
      </c>
      <c r="G287" s="129">
        <v>-4311.4623243933593</v>
      </c>
      <c r="H287" s="216"/>
      <c r="I287" s="172"/>
      <c r="J287" s="218"/>
      <c r="K287" s="128">
        <v>41.031337589171052</v>
      </c>
      <c r="L287" s="129">
        <v>4109.0357598978289</v>
      </c>
      <c r="M287" s="129">
        <v>94.748925913225889</v>
      </c>
      <c r="N287" s="129">
        <v>15829.182630906767</v>
      </c>
      <c r="O287" s="129"/>
      <c r="P287" s="117">
        <v>48220</v>
      </c>
      <c r="Q287" s="161">
        <v>89407</v>
      </c>
      <c r="R287" s="161">
        <v>0</v>
      </c>
      <c r="S287" s="161">
        <v>-41187</v>
      </c>
      <c r="T287" s="124">
        <v>19743</v>
      </c>
      <c r="U287" s="124">
        <v>25362</v>
      </c>
      <c r="V287" s="136"/>
      <c r="X287" s="116">
        <v>-180</v>
      </c>
      <c r="Y287" s="116">
        <v>-18</v>
      </c>
      <c r="Z287" s="161">
        <v>3720</v>
      </c>
      <c r="AA287" s="116">
        <v>3701</v>
      </c>
      <c r="AB287" s="116">
        <v>10857</v>
      </c>
      <c r="AD287" s="161">
        <v>10876</v>
      </c>
      <c r="AE287" s="116">
        <v>0</v>
      </c>
      <c r="AF287" s="116">
        <v>0</v>
      </c>
      <c r="AG287" s="116">
        <v>0</v>
      </c>
      <c r="AH287" s="116">
        <v>0</v>
      </c>
      <c r="AI287" s="160">
        <v>10876</v>
      </c>
      <c r="AJ287" s="161">
        <v>21694</v>
      </c>
      <c r="AK287" s="161">
        <v>14547</v>
      </c>
      <c r="AL287" s="150"/>
      <c r="AM287" s="161">
        <v>-733</v>
      </c>
      <c r="AN287" s="161">
        <v>-2040</v>
      </c>
      <c r="AO287" s="160">
        <v>11863</v>
      </c>
      <c r="AQ287" s="160"/>
      <c r="AR287" s="117"/>
      <c r="AS287" s="117"/>
      <c r="AT287" s="99">
        <v>21</v>
      </c>
      <c r="AU287" s="130"/>
      <c r="AV287" s="262">
        <v>116</v>
      </c>
      <c r="AW287" s="267">
        <v>6176</v>
      </c>
      <c r="AX287" s="124"/>
      <c r="AY287" s="255">
        <v>0.32359584399939767</v>
      </c>
      <c r="AZ287" s="259">
        <v>59.580678840048577</v>
      </c>
      <c r="BA287" s="160">
        <v>-5277.3639896373061</v>
      </c>
      <c r="BB287" s="130"/>
      <c r="BC287" s="130"/>
      <c r="BD287" s="130"/>
      <c r="BE287" s="128">
        <v>42.934891352194967</v>
      </c>
      <c r="BF287" s="160">
        <v>990.80297134771843</v>
      </c>
      <c r="BG287" s="129">
        <v>88.37528808616716</v>
      </c>
      <c r="BH287" s="131">
        <v>17212.597150259069</v>
      </c>
      <c r="BI287" s="124"/>
      <c r="BJ287" s="117">
        <v>47764</v>
      </c>
      <c r="BK287" s="117">
        <v>91758</v>
      </c>
      <c r="BL287" s="161">
        <v>0</v>
      </c>
      <c r="BM287" s="161">
        <v>-43994</v>
      </c>
      <c r="BN287" s="117">
        <v>20406</v>
      </c>
      <c r="BO287" s="117">
        <v>25696</v>
      </c>
      <c r="BP287" s="136"/>
      <c r="BR287" s="160">
        <v>-130</v>
      </c>
      <c r="BS287" s="160">
        <v>-32</v>
      </c>
      <c r="BT287" s="161">
        <v>1946</v>
      </c>
      <c r="BU287" s="125">
        <v>3856</v>
      </c>
      <c r="BV287" s="160">
        <v>-28</v>
      </c>
      <c r="BX287" s="161">
        <v>-1938</v>
      </c>
      <c r="BY287" s="160">
        <v>0</v>
      </c>
      <c r="BZ287" s="160">
        <v>0</v>
      </c>
      <c r="CA287" s="160">
        <v>0</v>
      </c>
      <c r="CB287" s="160">
        <v>0</v>
      </c>
      <c r="CC287" s="160">
        <v>-1938</v>
      </c>
      <c r="CD287" s="160">
        <v>20691</v>
      </c>
      <c r="CE287" s="116">
        <v>1966</v>
      </c>
      <c r="CF287" s="150"/>
      <c r="CG287" s="160">
        <v>4230</v>
      </c>
      <c r="CH287" s="160">
        <v>-6438</v>
      </c>
      <c r="CI287" s="159">
        <v>-5741</v>
      </c>
      <c r="CK287" s="124"/>
      <c r="CL287" s="161"/>
      <c r="CM287" s="124"/>
      <c r="CN287" s="265">
        <v>21</v>
      </c>
      <c r="CO287" s="130"/>
      <c r="CP287" s="116">
        <v>204</v>
      </c>
      <c r="CQ287" s="267">
        <v>6097</v>
      </c>
      <c r="CR287" s="124"/>
      <c r="CS287" s="268">
        <v>2.8779369627507165</v>
      </c>
      <c r="CT287" s="269">
        <v>60.007854972404239</v>
      </c>
      <c r="CU287" s="160">
        <v>-5872.7242906347383</v>
      </c>
      <c r="CV287" s="130"/>
      <c r="CW287" s="130"/>
      <c r="CX287" s="130"/>
      <c r="CY287" s="269">
        <v>42.431961259079905</v>
      </c>
      <c r="CZ287" s="125">
        <v>2590.290306708217</v>
      </c>
      <c r="DA287" s="125">
        <v>52.083965810112396</v>
      </c>
      <c r="DB287" s="273">
        <v>18152.534033131047</v>
      </c>
      <c r="DC287" s="124"/>
      <c r="DD287" s="117">
        <v>47408</v>
      </c>
      <c r="DE287" s="117">
        <v>91803</v>
      </c>
      <c r="DF287" s="117">
        <v>0</v>
      </c>
      <c r="DG287" s="117">
        <v>-44395</v>
      </c>
      <c r="DH287" s="117">
        <v>20677</v>
      </c>
      <c r="DI287" s="117">
        <v>28669</v>
      </c>
      <c r="DJ287" s="136"/>
      <c r="DL287" s="160">
        <v>-34</v>
      </c>
      <c r="DM287" s="160">
        <v>-53</v>
      </c>
      <c r="DN287" s="161">
        <v>4864</v>
      </c>
      <c r="DO287" s="116">
        <v>4185</v>
      </c>
      <c r="DP287" s="160">
        <v>179</v>
      </c>
      <c r="DR287" s="161">
        <v>858</v>
      </c>
      <c r="DS287" s="116">
        <v>0</v>
      </c>
      <c r="DT287" s="116">
        <v>0</v>
      </c>
      <c r="DU287" s="116">
        <v>0</v>
      </c>
      <c r="DV287" s="116">
        <v>0</v>
      </c>
      <c r="DW287" s="160">
        <v>858</v>
      </c>
      <c r="DX287" s="160">
        <v>21635</v>
      </c>
      <c r="DY287" s="116">
        <v>5036</v>
      </c>
      <c r="DZ287" s="150"/>
      <c r="EA287" s="116">
        <v>-1468</v>
      </c>
      <c r="EB287" s="116">
        <v>-1587</v>
      </c>
      <c r="EC287" s="159">
        <v>-7427</v>
      </c>
      <c r="EE287" s="125"/>
      <c r="EF287" s="161"/>
      <c r="EG287" s="124"/>
      <c r="EH287" s="253">
        <v>21</v>
      </c>
      <c r="EI287" s="130"/>
      <c r="EJ287" s="125">
        <v>224</v>
      </c>
      <c r="EK287" s="116"/>
      <c r="EL287" s="159"/>
      <c r="EN287" s="116"/>
      <c r="EO287" s="116"/>
      <c r="EP287" s="159"/>
      <c r="EQ287" s="159">
        <v>-7341</v>
      </c>
      <c r="ER287" s="116">
        <v>5</v>
      </c>
      <c r="ES287" s="116">
        <v>4652</v>
      </c>
      <c r="ET287" s="160">
        <v>-7787</v>
      </c>
      <c r="EU287" s="116">
        <v>22</v>
      </c>
      <c r="EV287" s="116">
        <v>58</v>
      </c>
      <c r="EW287" s="160">
        <v>-16961</v>
      </c>
      <c r="EX287" s="160">
        <v>-16</v>
      </c>
      <c r="EY287" s="160">
        <v>4514</v>
      </c>
      <c r="EZ287" s="116">
        <v>3940</v>
      </c>
      <c r="FA287" s="116">
        <v>1182</v>
      </c>
      <c r="FB287" s="116">
        <v>6010</v>
      </c>
      <c r="FC287" s="160">
        <v>-1182</v>
      </c>
      <c r="FD287" s="116">
        <v>1221</v>
      </c>
      <c r="FE287" s="116">
        <v>2206</v>
      </c>
      <c r="FF287" s="3">
        <v>45379</v>
      </c>
      <c r="FG287" s="3">
        <v>34343</v>
      </c>
      <c r="FH287" s="3">
        <v>11036</v>
      </c>
      <c r="FI287" s="3">
        <v>0</v>
      </c>
      <c r="FJ287" s="125">
        <v>43974</v>
      </c>
      <c r="FK287" s="160">
        <v>34456</v>
      </c>
      <c r="FL287" s="125">
        <v>9518</v>
      </c>
      <c r="FM287" s="116">
        <v>0</v>
      </c>
      <c r="FN287" s="125">
        <v>46110</v>
      </c>
      <c r="FO287" s="116">
        <v>34183</v>
      </c>
      <c r="FP287" s="116">
        <v>11927</v>
      </c>
      <c r="FQ287" s="116">
        <v>-1468</v>
      </c>
      <c r="FR287" s="153">
        <v>1237</v>
      </c>
      <c r="FS287" s="153">
        <v>1136</v>
      </c>
      <c r="FT287" s="276">
        <v>1082</v>
      </c>
      <c r="FU287" s="3">
        <v>399</v>
      </c>
      <c r="FV287" s="159">
        <v>465</v>
      </c>
      <c r="FW287" s="170"/>
      <c r="FZ287" s="155"/>
      <c r="GA287" s="2"/>
      <c r="GD287" s="163"/>
      <c r="GE287" s="2"/>
      <c r="GF287" s="2"/>
    </row>
    <row r="288" spans="1:188" ht="14.5" x14ac:dyDescent="0.35">
      <c r="A288" s="72">
        <v>934</v>
      </c>
      <c r="B288" s="70" t="s">
        <v>277</v>
      </c>
      <c r="C288" s="158">
        <v>2901</v>
      </c>
      <c r="D288" s="171"/>
      <c r="E288" s="128">
        <v>0.87175685693106009</v>
      </c>
      <c r="F288" s="128">
        <v>65.362435666894029</v>
      </c>
      <c r="G288" s="129">
        <v>-5777.6628748707344</v>
      </c>
      <c r="H288" s="216"/>
      <c r="I288" s="172"/>
      <c r="J288" s="218"/>
      <c r="K288" s="128">
        <v>33.492633629611589</v>
      </c>
      <c r="L288" s="129">
        <v>816.27025163736641</v>
      </c>
      <c r="M288" s="129">
        <v>24.619591534451818</v>
      </c>
      <c r="N288" s="129">
        <v>12101.689072733541</v>
      </c>
      <c r="O288" s="129"/>
      <c r="P288" s="117">
        <v>14041</v>
      </c>
      <c r="Q288" s="161">
        <v>31072</v>
      </c>
      <c r="R288" s="161">
        <v>5</v>
      </c>
      <c r="S288" s="161">
        <v>-17026</v>
      </c>
      <c r="T288" s="124">
        <v>9851</v>
      </c>
      <c r="U288" s="124">
        <v>8315</v>
      </c>
      <c r="V288" s="136"/>
      <c r="X288" s="116">
        <v>-113</v>
      </c>
      <c r="Y288" s="116">
        <v>32</v>
      </c>
      <c r="Z288" s="161">
        <v>1059</v>
      </c>
      <c r="AA288" s="116">
        <v>1547</v>
      </c>
      <c r="AB288" s="116">
        <v>0</v>
      </c>
      <c r="AD288" s="161">
        <v>-488</v>
      </c>
      <c r="AE288" s="117">
        <v>-11</v>
      </c>
      <c r="AF288" s="117">
        <v>4</v>
      </c>
      <c r="AG288" s="116">
        <v>-10</v>
      </c>
      <c r="AH288" s="116">
        <v>-2</v>
      </c>
      <c r="AI288" s="160">
        <v>-507</v>
      </c>
      <c r="AJ288" s="161">
        <v>17</v>
      </c>
      <c r="AK288" s="161">
        <v>1049</v>
      </c>
      <c r="AL288" s="150"/>
      <c r="AM288" s="161">
        <v>-214</v>
      </c>
      <c r="AN288" s="161">
        <v>-1232</v>
      </c>
      <c r="AO288" s="160">
        <v>-1540</v>
      </c>
      <c r="AQ288" s="160"/>
      <c r="AR288" s="117"/>
      <c r="AS288" s="117"/>
      <c r="AT288" s="99">
        <v>22.25</v>
      </c>
      <c r="AU288" s="130"/>
      <c r="AV288" s="262">
        <v>194</v>
      </c>
      <c r="AW288" s="267">
        <v>2827</v>
      </c>
      <c r="AX288" s="124"/>
      <c r="AY288" s="255">
        <v>0.5761078998073218</v>
      </c>
      <c r="AZ288" s="259">
        <v>73.578909134935529</v>
      </c>
      <c r="BA288" s="160">
        <v>-6833.7460205164489</v>
      </c>
      <c r="BB288" s="130"/>
      <c r="BC288" s="130"/>
      <c r="BD288" s="130"/>
      <c r="BE288" s="128">
        <v>28.8</v>
      </c>
      <c r="BF288" s="160">
        <v>1628.8195561273722</v>
      </c>
      <c r="BG288" s="129">
        <v>23.639844647448172</v>
      </c>
      <c r="BH288" s="131">
        <v>12933.144676335338</v>
      </c>
      <c r="BI288" s="124"/>
      <c r="BJ288" s="117">
        <v>14131</v>
      </c>
      <c r="BK288" s="117">
        <v>32530</v>
      </c>
      <c r="BL288" s="161">
        <v>2</v>
      </c>
      <c r="BM288" s="161">
        <v>-18397</v>
      </c>
      <c r="BN288" s="117">
        <v>10518</v>
      </c>
      <c r="BO288" s="117">
        <v>8389</v>
      </c>
      <c r="BP288" s="136"/>
      <c r="BR288" s="160">
        <v>-129</v>
      </c>
      <c r="BS288" s="160">
        <v>87</v>
      </c>
      <c r="BT288" s="161">
        <v>468</v>
      </c>
      <c r="BU288" s="125">
        <v>1756</v>
      </c>
      <c r="BV288" s="160">
        <v>0</v>
      </c>
      <c r="BW288" s="117"/>
      <c r="BX288" s="161">
        <v>-1288</v>
      </c>
      <c r="BY288" s="161">
        <v>14</v>
      </c>
      <c r="BZ288" s="160">
        <v>-1</v>
      </c>
      <c r="CA288" s="160">
        <v>0</v>
      </c>
      <c r="CB288" s="160">
        <v>3</v>
      </c>
      <c r="CC288" s="160">
        <v>-1272</v>
      </c>
      <c r="CD288" s="160">
        <v>-1321</v>
      </c>
      <c r="CE288" s="116">
        <v>452</v>
      </c>
      <c r="CF288" s="150"/>
      <c r="CG288" s="160">
        <v>-161</v>
      </c>
      <c r="CH288" s="160">
        <v>-908</v>
      </c>
      <c r="CI288" s="159">
        <v>-2443</v>
      </c>
      <c r="CK288" s="124"/>
      <c r="CL288" s="161"/>
      <c r="CM288" s="124"/>
      <c r="CN288" s="265">
        <v>22.25</v>
      </c>
      <c r="CO288" s="130"/>
      <c r="CP288" s="116">
        <v>245</v>
      </c>
      <c r="CQ288" s="267">
        <v>2784</v>
      </c>
      <c r="CR288" s="124"/>
      <c r="CS288" s="268">
        <v>2.7749999999999999</v>
      </c>
      <c r="CT288" s="269">
        <v>68.88349230499152</v>
      </c>
      <c r="CU288" s="160">
        <v>-7000.7183908045972</v>
      </c>
      <c r="CV288" s="130"/>
      <c r="CW288" s="130"/>
      <c r="CX288" s="130"/>
      <c r="CY288" s="269">
        <v>32.474007762259554</v>
      </c>
      <c r="CZ288" s="125">
        <v>818.9655172413793</v>
      </c>
      <c r="DA288" s="125">
        <v>23.473993004625974</v>
      </c>
      <c r="DB288" s="273">
        <v>12734.19540229885</v>
      </c>
      <c r="DC288" s="124"/>
      <c r="DD288" s="117">
        <v>14145</v>
      </c>
      <c r="DE288" s="117">
        <v>30842</v>
      </c>
      <c r="DF288" s="117">
        <v>3</v>
      </c>
      <c r="DG288" s="117">
        <v>-16694</v>
      </c>
      <c r="DH288" s="117">
        <v>10148</v>
      </c>
      <c r="DI288" s="117">
        <v>9885</v>
      </c>
      <c r="DJ288" s="136"/>
      <c r="DL288" s="160">
        <v>-149</v>
      </c>
      <c r="DM288" s="160">
        <v>102</v>
      </c>
      <c r="DN288" s="161">
        <v>3292</v>
      </c>
      <c r="DO288" s="116">
        <v>1815</v>
      </c>
      <c r="DP288" s="160">
        <v>0</v>
      </c>
      <c r="DQ288" s="117"/>
      <c r="DR288" s="161">
        <v>1477</v>
      </c>
      <c r="DS288" s="117">
        <v>-8</v>
      </c>
      <c r="DT288" s="116">
        <v>-1</v>
      </c>
      <c r="DU288" s="116">
        <v>9</v>
      </c>
      <c r="DV288" s="116">
        <v>0</v>
      </c>
      <c r="DW288" s="160">
        <v>1459</v>
      </c>
      <c r="DX288" s="160">
        <v>126</v>
      </c>
      <c r="DY288" s="116">
        <v>3187</v>
      </c>
      <c r="DZ288" s="150"/>
      <c r="EA288" s="116">
        <v>567</v>
      </c>
      <c r="EB288" s="116">
        <v>-1091</v>
      </c>
      <c r="EC288" s="159">
        <v>-101</v>
      </c>
      <c r="EE288" s="125"/>
      <c r="EF288" s="161"/>
      <c r="EG288" s="124"/>
      <c r="EH288" s="253">
        <v>22.25</v>
      </c>
      <c r="EI288" s="130"/>
      <c r="EJ288" s="125">
        <v>79</v>
      </c>
      <c r="EK288" s="116"/>
      <c r="EL288" s="159"/>
      <c r="EN288" s="116"/>
      <c r="EO288" s="116"/>
      <c r="EP288" s="159"/>
      <c r="EQ288" s="159">
        <v>-2593</v>
      </c>
      <c r="ER288" s="116">
        <v>0</v>
      </c>
      <c r="ES288" s="116">
        <v>4</v>
      </c>
      <c r="ET288" s="160">
        <v>-2958</v>
      </c>
      <c r="EU288" s="116">
        <v>0</v>
      </c>
      <c r="EV288" s="116">
        <v>63</v>
      </c>
      <c r="EW288" s="160">
        <v>-3354</v>
      </c>
      <c r="EX288" s="160">
        <v>7</v>
      </c>
      <c r="EY288" s="160">
        <v>59</v>
      </c>
      <c r="EZ288" s="116">
        <v>1372</v>
      </c>
      <c r="FA288" s="116">
        <v>515</v>
      </c>
      <c r="FB288" s="116">
        <v>2756</v>
      </c>
      <c r="FC288" s="160">
        <v>1000</v>
      </c>
      <c r="FD288" s="116">
        <v>3181</v>
      </c>
      <c r="FE288" s="116">
        <v>-1603</v>
      </c>
      <c r="FF288" s="3">
        <v>16655</v>
      </c>
      <c r="FG288" s="3">
        <v>10841</v>
      </c>
      <c r="FH288" s="3">
        <v>5814</v>
      </c>
      <c r="FI288" s="3">
        <v>2</v>
      </c>
      <c r="FJ288" s="125">
        <v>18406</v>
      </c>
      <c r="FK288" s="160">
        <v>12363</v>
      </c>
      <c r="FL288" s="125">
        <v>6043</v>
      </c>
      <c r="FM288" s="116">
        <v>0</v>
      </c>
      <c r="FN288" s="125">
        <v>20066</v>
      </c>
      <c r="FO288" s="116">
        <v>14505</v>
      </c>
      <c r="FP288" s="116">
        <v>5561</v>
      </c>
      <c r="FQ288" s="116">
        <v>567</v>
      </c>
      <c r="FR288" s="153">
        <v>350</v>
      </c>
      <c r="FS288" s="153">
        <v>460</v>
      </c>
      <c r="FT288" s="276">
        <v>284</v>
      </c>
      <c r="FU288" s="3">
        <v>103</v>
      </c>
      <c r="FV288" s="159">
        <v>211</v>
      </c>
      <c r="FW288" s="170"/>
      <c r="FZ288" s="155"/>
      <c r="GA288" s="2"/>
      <c r="GD288" s="163"/>
      <c r="GE288" s="2"/>
      <c r="GF288" s="2"/>
    </row>
    <row r="289" spans="1:188" ht="14.5" x14ac:dyDescent="0.35">
      <c r="A289" s="72">
        <v>935</v>
      </c>
      <c r="B289" s="70" t="s">
        <v>278</v>
      </c>
      <c r="C289" s="158">
        <v>3150</v>
      </c>
      <c r="D289" s="171"/>
      <c r="E289" s="128">
        <v>3.9013157894736841</v>
      </c>
      <c r="F289" s="128">
        <v>103.65054993262933</v>
      </c>
      <c r="G289" s="129">
        <v>-8404.4444444444434</v>
      </c>
      <c r="H289" s="216"/>
      <c r="I289" s="172"/>
      <c r="J289" s="218"/>
      <c r="K289" s="128">
        <v>24.282570722079807</v>
      </c>
      <c r="L289" s="129">
        <v>1441.9047619047617</v>
      </c>
      <c r="M289" s="129">
        <v>44.456571290659944</v>
      </c>
      <c r="N289" s="129">
        <v>11838.412698412698</v>
      </c>
      <c r="O289" s="129"/>
      <c r="P289" s="117">
        <v>12106</v>
      </c>
      <c r="Q289" s="161">
        <v>30424</v>
      </c>
      <c r="R289" s="161">
        <v>0</v>
      </c>
      <c r="S289" s="161">
        <v>-18318</v>
      </c>
      <c r="T289" s="124">
        <v>10463</v>
      </c>
      <c r="U289" s="124">
        <v>9344</v>
      </c>
      <c r="V289" s="136"/>
      <c r="X289" s="116">
        <v>-66</v>
      </c>
      <c r="Y289" s="116">
        <v>269</v>
      </c>
      <c r="Z289" s="161">
        <v>1692</v>
      </c>
      <c r="AA289" s="116">
        <v>2411</v>
      </c>
      <c r="AB289" s="116">
        <v>0</v>
      </c>
      <c r="AD289" s="161">
        <v>-719</v>
      </c>
      <c r="AE289" s="117">
        <v>0</v>
      </c>
      <c r="AF289" s="117">
        <v>0</v>
      </c>
      <c r="AG289" s="116">
        <v>0</v>
      </c>
      <c r="AH289" s="116">
        <v>-14</v>
      </c>
      <c r="AI289" s="160">
        <v>-733</v>
      </c>
      <c r="AJ289" s="161">
        <v>3367</v>
      </c>
      <c r="AK289" s="161">
        <v>1594</v>
      </c>
      <c r="AL289" s="150"/>
      <c r="AM289" s="161">
        <v>-543</v>
      </c>
      <c r="AN289" s="161">
        <v>-369</v>
      </c>
      <c r="AO289" s="160">
        <v>-4625</v>
      </c>
      <c r="AQ289" s="160"/>
      <c r="AR289" s="117"/>
      <c r="AS289" s="117"/>
      <c r="AT289" s="99">
        <v>20</v>
      </c>
      <c r="AU289" s="130"/>
      <c r="AV289" s="262">
        <v>128</v>
      </c>
      <c r="AW289" s="267">
        <v>3109</v>
      </c>
      <c r="AX289" s="124"/>
      <c r="AY289" s="255">
        <v>1.7067530064754857</v>
      </c>
      <c r="AZ289" s="259">
        <v>87.446781389420011</v>
      </c>
      <c r="BA289" s="160">
        <v>-8882.5989064007717</v>
      </c>
      <c r="BB289" s="130"/>
      <c r="BC289" s="130"/>
      <c r="BD289" s="130"/>
      <c r="BE289" s="128">
        <v>23.056647605432453</v>
      </c>
      <c r="BF289" s="160">
        <v>2134.0158924205375</v>
      </c>
      <c r="BG289" s="129">
        <v>39.648673857412767</v>
      </c>
      <c r="BH289" s="131">
        <v>13449.018977163074</v>
      </c>
      <c r="BI289" s="124"/>
      <c r="BJ289" s="117">
        <v>18560</v>
      </c>
      <c r="BK289" s="117">
        <v>37700</v>
      </c>
      <c r="BL289" s="161">
        <v>-8</v>
      </c>
      <c r="BM289" s="161">
        <v>-19148</v>
      </c>
      <c r="BN289" s="117">
        <v>11023</v>
      </c>
      <c r="BO289" s="117">
        <v>9642</v>
      </c>
      <c r="BP289" s="136"/>
      <c r="BR289" s="160">
        <v>-190</v>
      </c>
      <c r="BS289" s="160">
        <v>299</v>
      </c>
      <c r="BT289" s="161">
        <v>1626</v>
      </c>
      <c r="BU289" s="125">
        <v>2086</v>
      </c>
      <c r="BV289" s="160">
        <v>0</v>
      </c>
      <c r="BX289" s="161">
        <v>-460</v>
      </c>
      <c r="BY289" s="161">
        <v>0</v>
      </c>
      <c r="BZ289" s="160">
        <v>0</v>
      </c>
      <c r="CA289" s="160">
        <v>0</v>
      </c>
      <c r="CB289" s="160">
        <v>-8</v>
      </c>
      <c r="CC289" s="160">
        <v>-468</v>
      </c>
      <c r="CD289" s="160">
        <v>2906</v>
      </c>
      <c r="CE289" s="116">
        <v>1571</v>
      </c>
      <c r="CF289" s="150"/>
      <c r="CG289" s="161">
        <v>401</v>
      </c>
      <c r="CH289" s="160">
        <v>-862</v>
      </c>
      <c r="CI289" s="159">
        <v>-1280</v>
      </c>
      <c r="CK289" s="124"/>
      <c r="CL289" s="161"/>
      <c r="CM289" s="124"/>
      <c r="CN289" s="265">
        <v>20.5</v>
      </c>
      <c r="CO289" s="130"/>
      <c r="CP289" s="116">
        <v>114</v>
      </c>
      <c r="CQ289" s="267">
        <v>3087</v>
      </c>
      <c r="CR289" s="124"/>
      <c r="CS289" s="268">
        <v>3.0798548094373865</v>
      </c>
      <c r="CT289" s="269">
        <v>84.686040874645983</v>
      </c>
      <c r="CU289" s="160">
        <v>-8672.8215095562045</v>
      </c>
      <c r="CV289" s="130"/>
      <c r="CW289" s="130"/>
      <c r="CX289" s="130"/>
      <c r="CY289" s="269">
        <v>24.519155590304926</v>
      </c>
      <c r="CZ289" s="125">
        <v>1482.9931972789116</v>
      </c>
      <c r="DA289" s="125">
        <v>42.276280834914616</v>
      </c>
      <c r="DB289" s="273">
        <v>12803.692905733722</v>
      </c>
      <c r="DC289" s="124"/>
      <c r="DD289" s="117">
        <v>17093</v>
      </c>
      <c r="DE289" s="117">
        <v>36127</v>
      </c>
      <c r="DF289" s="117">
        <v>0</v>
      </c>
      <c r="DG289" s="117">
        <v>-19034</v>
      </c>
      <c r="DH289" s="117">
        <v>11364</v>
      </c>
      <c r="DI289" s="117">
        <v>10736</v>
      </c>
      <c r="DJ289" s="136"/>
      <c r="DL289" s="160">
        <v>-212</v>
      </c>
      <c r="DM289" s="160">
        <v>292</v>
      </c>
      <c r="DN289" s="161">
        <v>3146</v>
      </c>
      <c r="DO289" s="116">
        <v>2420</v>
      </c>
      <c r="DP289" s="160">
        <v>0</v>
      </c>
      <c r="DR289" s="161">
        <v>726</v>
      </c>
      <c r="DS289" s="117">
        <v>0</v>
      </c>
      <c r="DT289" s="116">
        <v>0</v>
      </c>
      <c r="DU289" s="116">
        <v>0</v>
      </c>
      <c r="DV289" s="116">
        <v>-16</v>
      </c>
      <c r="DW289" s="160">
        <v>710</v>
      </c>
      <c r="DX289" s="160">
        <v>3618</v>
      </c>
      <c r="DY289" s="116">
        <v>3127</v>
      </c>
      <c r="DZ289" s="150"/>
      <c r="EA289" s="117">
        <v>-219</v>
      </c>
      <c r="EB289" s="116">
        <v>-854</v>
      </c>
      <c r="EC289" s="159">
        <v>881</v>
      </c>
      <c r="EE289" s="125"/>
      <c r="EF289" s="161"/>
      <c r="EG289" s="124"/>
      <c r="EH289" s="253">
        <v>20.5</v>
      </c>
      <c r="EI289" s="130"/>
      <c r="EJ289" s="125">
        <v>124</v>
      </c>
      <c r="EK289" s="116"/>
      <c r="EL289" s="159"/>
      <c r="EN289" s="116"/>
      <c r="EO289" s="116"/>
      <c r="EP289" s="159"/>
      <c r="EQ289" s="159">
        <v>-6380</v>
      </c>
      <c r="ER289" s="116">
        <v>5</v>
      </c>
      <c r="ES289" s="116">
        <v>156</v>
      </c>
      <c r="ET289" s="160">
        <v>-3028</v>
      </c>
      <c r="EU289" s="116">
        <v>130</v>
      </c>
      <c r="EV289" s="116">
        <v>47</v>
      </c>
      <c r="EW289" s="160">
        <v>-2336</v>
      </c>
      <c r="EX289" s="160">
        <v>60</v>
      </c>
      <c r="EY289" s="160">
        <v>30</v>
      </c>
      <c r="EZ289" s="116">
        <v>5762</v>
      </c>
      <c r="FA289" s="116">
        <v>-1542</v>
      </c>
      <c r="FB289" s="116">
        <v>2236</v>
      </c>
      <c r="FC289" s="160">
        <v>0</v>
      </c>
      <c r="FD289" s="116">
        <v>345</v>
      </c>
      <c r="FE289" s="116">
        <v>-22</v>
      </c>
      <c r="FF289" s="3">
        <v>27330</v>
      </c>
      <c r="FG289" s="3">
        <v>12079</v>
      </c>
      <c r="FH289" s="3">
        <v>15251</v>
      </c>
      <c r="FI289" s="3">
        <v>25</v>
      </c>
      <c r="FJ289" s="125">
        <v>28704</v>
      </c>
      <c r="FK289" s="160">
        <v>13434</v>
      </c>
      <c r="FL289" s="125">
        <v>15270</v>
      </c>
      <c r="FM289" s="116">
        <v>23</v>
      </c>
      <c r="FN289" s="125">
        <v>28194</v>
      </c>
      <c r="FO289" s="116">
        <v>12923</v>
      </c>
      <c r="FP289" s="116">
        <v>15271</v>
      </c>
      <c r="FQ289" s="116">
        <v>-219</v>
      </c>
      <c r="FR289" s="153">
        <v>158</v>
      </c>
      <c r="FS289" s="153">
        <v>138</v>
      </c>
      <c r="FT289" s="276">
        <v>72</v>
      </c>
      <c r="FU289" s="3">
        <v>43</v>
      </c>
      <c r="FV289" s="159">
        <v>487</v>
      </c>
      <c r="FW289" s="170"/>
      <c r="FZ289" s="155"/>
      <c r="GA289" s="2"/>
      <c r="GD289" s="163"/>
      <c r="GE289" s="2"/>
      <c r="GF289" s="2"/>
    </row>
    <row r="290" spans="1:188" ht="14.5" x14ac:dyDescent="0.35">
      <c r="A290" s="72">
        <v>936</v>
      </c>
      <c r="B290" s="70" t="s">
        <v>279</v>
      </c>
      <c r="C290" s="158">
        <v>6739</v>
      </c>
      <c r="D290" s="171"/>
      <c r="E290" s="128">
        <v>3.5864978902953588</v>
      </c>
      <c r="F290" s="128">
        <v>35.892376119776984</v>
      </c>
      <c r="G290" s="129">
        <v>-2514.6164119305536</v>
      </c>
      <c r="H290" s="216"/>
      <c r="I290" s="172"/>
      <c r="J290" s="218"/>
      <c r="K290" s="128">
        <v>59.45607162842753</v>
      </c>
      <c r="L290" s="129">
        <v>1822.9707671761389</v>
      </c>
      <c r="M290" s="129">
        <v>43.892178935003912</v>
      </c>
      <c r="N290" s="129">
        <v>15159.519216500965</v>
      </c>
      <c r="O290" s="129"/>
      <c r="P290" s="117">
        <v>50229</v>
      </c>
      <c r="Q290" s="161">
        <v>91571</v>
      </c>
      <c r="R290" s="161">
        <v>850</v>
      </c>
      <c r="S290" s="161">
        <v>-40492</v>
      </c>
      <c r="T290" s="124">
        <v>21939</v>
      </c>
      <c r="U290" s="124">
        <v>23610</v>
      </c>
      <c r="V290" s="136"/>
      <c r="X290" s="116">
        <v>-185</v>
      </c>
      <c r="Y290" s="116">
        <v>37</v>
      </c>
      <c r="Z290" s="161">
        <v>4909</v>
      </c>
      <c r="AA290" s="116">
        <v>4651</v>
      </c>
      <c r="AB290" s="116">
        <v>0</v>
      </c>
      <c r="AD290" s="161">
        <v>258</v>
      </c>
      <c r="AE290" s="116">
        <v>-40</v>
      </c>
      <c r="AF290" s="116">
        <v>0</v>
      </c>
      <c r="AG290" s="116">
        <v>-84</v>
      </c>
      <c r="AH290" s="116">
        <v>0</v>
      </c>
      <c r="AI290" s="160">
        <v>134</v>
      </c>
      <c r="AJ290" s="161">
        <v>28905</v>
      </c>
      <c r="AK290" s="161">
        <v>4217</v>
      </c>
      <c r="AL290" s="150"/>
      <c r="AM290" s="161">
        <v>331</v>
      </c>
      <c r="AN290" s="161">
        <v>-1231</v>
      </c>
      <c r="AO290" s="160">
        <v>-4599</v>
      </c>
      <c r="AQ290" s="160"/>
      <c r="AR290" s="117"/>
      <c r="AS290" s="117"/>
      <c r="AT290" s="99">
        <v>20.75</v>
      </c>
      <c r="AU290" s="130"/>
      <c r="AV290" s="262">
        <v>70</v>
      </c>
      <c r="AW290" s="267">
        <v>6544</v>
      </c>
      <c r="AX290" s="124"/>
      <c r="AY290" s="255">
        <v>2.7487896718665947</v>
      </c>
      <c r="AZ290" s="259">
        <v>41.425553412326629</v>
      </c>
      <c r="BA290" s="160">
        <v>-3349.9388753056232</v>
      </c>
      <c r="BB290" s="130"/>
      <c r="BC290" s="130"/>
      <c r="BD290" s="130"/>
      <c r="BE290" s="128">
        <v>55.94367208200061</v>
      </c>
      <c r="BF290" s="160">
        <v>622.65903110973534</v>
      </c>
      <c r="BG290" s="129">
        <v>42.855606846919173</v>
      </c>
      <c r="BH290" s="131">
        <v>15988.844743276284</v>
      </c>
      <c r="BI290" s="124"/>
      <c r="BJ290" s="117">
        <v>51539</v>
      </c>
      <c r="BK290" s="117">
        <v>94050</v>
      </c>
      <c r="BL290" s="161">
        <v>934</v>
      </c>
      <c r="BM290" s="161">
        <v>-41577</v>
      </c>
      <c r="BN290" s="117">
        <v>22854</v>
      </c>
      <c r="BO290" s="117">
        <v>23590</v>
      </c>
      <c r="BP290" s="136"/>
      <c r="BR290" s="160">
        <v>-169</v>
      </c>
      <c r="BS290" s="160">
        <v>234</v>
      </c>
      <c r="BT290" s="161">
        <v>4932</v>
      </c>
      <c r="BU290" s="125">
        <v>5093</v>
      </c>
      <c r="BV290" s="160">
        <v>-358</v>
      </c>
      <c r="BX290" s="161">
        <v>-519</v>
      </c>
      <c r="BY290" s="160">
        <v>-34</v>
      </c>
      <c r="BZ290" s="160">
        <v>0</v>
      </c>
      <c r="CA290" s="160">
        <v>85</v>
      </c>
      <c r="CB290" s="160">
        <v>-10</v>
      </c>
      <c r="CC290" s="160">
        <v>-648</v>
      </c>
      <c r="CD290" s="160">
        <v>28363</v>
      </c>
      <c r="CE290" s="116">
        <v>3480</v>
      </c>
      <c r="CF290" s="150"/>
      <c r="CG290" s="160">
        <v>402</v>
      </c>
      <c r="CH290" s="160">
        <v>-1681</v>
      </c>
      <c r="CI290" s="159">
        <v>-4779</v>
      </c>
      <c r="CK290" s="124"/>
      <c r="CL290" s="161"/>
      <c r="CM290" s="124"/>
      <c r="CN290" s="265">
        <v>21.25</v>
      </c>
      <c r="CO290" s="130"/>
      <c r="CP290" s="116">
        <v>47</v>
      </c>
      <c r="CQ290" s="267">
        <v>6510</v>
      </c>
      <c r="CR290" s="124"/>
      <c r="CS290" s="268">
        <v>3.60166468489893</v>
      </c>
      <c r="CT290" s="269">
        <v>45.559315384238147</v>
      </c>
      <c r="CU290" s="160">
        <v>-4006.9124423963131</v>
      </c>
      <c r="CV290" s="130"/>
      <c r="CW290" s="130"/>
      <c r="CX290" s="130"/>
      <c r="CY290" s="269">
        <v>54.132832442325288</v>
      </c>
      <c r="CZ290" s="125">
        <v>2202.1505376344085</v>
      </c>
      <c r="DA290" s="125">
        <v>47.608406878355019</v>
      </c>
      <c r="DB290" s="273">
        <v>16883.256528417816</v>
      </c>
      <c r="DC290" s="124"/>
      <c r="DD290" s="117">
        <v>51841</v>
      </c>
      <c r="DE290" s="117">
        <v>93948</v>
      </c>
      <c r="DF290" s="117">
        <v>853</v>
      </c>
      <c r="DG290" s="117">
        <v>-41254</v>
      </c>
      <c r="DH290" s="117">
        <v>22688</v>
      </c>
      <c r="DI290" s="117">
        <v>27426</v>
      </c>
      <c r="DJ290" s="136"/>
      <c r="DL290" s="160">
        <v>-187</v>
      </c>
      <c r="DM290" s="160">
        <v>187</v>
      </c>
      <c r="DN290" s="161">
        <v>8860</v>
      </c>
      <c r="DO290" s="116">
        <v>5493</v>
      </c>
      <c r="DP290" s="160">
        <v>0</v>
      </c>
      <c r="DR290" s="161">
        <v>3367</v>
      </c>
      <c r="DS290" s="116">
        <v>-144</v>
      </c>
      <c r="DT290" s="116">
        <v>0</v>
      </c>
      <c r="DU290" s="116">
        <v>153</v>
      </c>
      <c r="DV290" s="116">
        <v>9</v>
      </c>
      <c r="DW290" s="160">
        <v>3079</v>
      </c>
      <c r="DX290" s="160">
        <v>31441</v>
      </c>
      <c r="DY290" s="116">
        <v>7844</v>
      </c>
      <c r="DZ290" s="150"/>
      <c r="EA290" s="116">
        <v>-1332</v>
      </c>
      <c r="EB290" s="116">
        <v>-2296</v>
      </c>
      <c r="EC290" s="159">
        <v>-4160</v>
      </c>
      <c r="EE290" s="125"/>
      <c r="EF290" s="161"/>
      <c r="EG290" s="124"/>
      <c r="EH290" s="253">
        <v>21.25</v>
      </c>
      <c r="EI290" s="130"/>
      <c r="EJ290" s="125">
        <v>43</v>
      </c>
      <c r="EK290" s="116"/>
      <c r="EL290" s="159"/>
      <c r="EN290" s="116"/>
      <c r="EO290" s="116"/>
      <c r="EP290" s="159"/>
      <c r="EQ290" s="159">
        <v>-9098</v>
      </c>
      <c r="ER290" s="116">
        <v>199</v>
      </c>
      <c r="ES290" s="116">
        <v>83</v>
      </c>
      <c r="ET290" s="160">
        <v>-8670</v>
      </c>
      <c r="EU290" s="116">
        <v>202</v>
      </c>
      <c r="EV290" s="116">
        <v>209</v>
      </c>
      <c r="EW290" s="160">
        <v>-13400</v>
      </c>
      <c r="EX290" s="160">
        <v>207</v>
      </c>
      <c r="EY290" s="160">
        <v>1189</v>
      </c>
      <c r="EZ290" s="116">
        <v>4918</v>
      </c>
      <c r="FA290" s="116">
        <v>0</v>
      </c>
      <c r="FB290" s="116">
        <v>6869</v>
      </c>
      <c r="FC290" s="160">
        <v>0</v>
      </c>
      <c r="FD290" s="116">
        <v>6960</v>
      </c>
      <c r="FE290" s="116">
        <v>0</v>
      </c>
      <c r="FF290" s="3">
        <v>19491</v>
      </c>
      <c r="FG290" s="3">
        <v>17702</v>
      </c>
      <c r="FH290" s="3">
        <v>1789</v>
      </c>
      <c r="FI290" s="3">
        <v>0</v>
      </c>
      <c r="FJ290" s="125">
        <v>24539</v>
      </c>
      <c r="FK290" s="160">
        <v>22556</v>
      </c>
      <c r="FL290" s="125">
        <v>1983</v>
      </c>
      <c r="FM290" s="116">
        <v>0</v>
      </c>
      <c r="FN290" s="125">
        <v>29393</v>
      </c>
      <c r="FO290" s="116">
        <v>26581</v>
      </c>
      <c r="FP290" s="116">
        <v>2812</v>
      </c>
      <c r="FQ290" s="116">
        <v>-1332</v>
      </c>
      <c r="FR290" s="153">
        <v>3293</v>
      </c>
      <c r="FS290" s="153">
        <v>2813</v>
      </c>
      <c r="FT290" s="276">
        <v>2522</v>
      </c>
      <c r="FU290" s="3">
        <v>5530</v>
      </c>
      <c r="FV290" s="159">
        <v>5646</v>
      </c>
      <c r="FW290" s="170"/>
      <c r="FZ290" s="155"/>
      <c r="GA290" s="2"/>
      <c r="GD290" s="163"/>
      <c r="GE290" s="2"/>
      <c r="GF290" s="2"/>
    </row>
    <row r="291" spans="1:188" ht="14.5" x14ac:dyDescent="0.35">
      <c r="A291" s="72">
        <v>946</v>
      </c>
      <c r="B291" s="70" t="s">
        <v>370</v>
      </c>
      <c r="C291" s="158">
        <v>6613</v>
      </c>
      <c r="D291" s="171"/>
      <c r="E291" s="128">
        <v>0.41713823767178659</v>
      </c>
      <c r="F291" s="128">
        <v>38.231023868981936</v>
      </c>
      <c r="G291" s="129">
        <v>-3124.9054891879632</v>
      </c>
      <c r="H291" s="216"/>
      <c r="I291" s="172"/>
      <c r="J291" s="218"/>
      <c r="K291" s="128">
        <v>48.232809022669834</v>
      </c>
      <c r="L291" s="129">
        <v>222.74308180855888</v>
      </c>
      <c r="M291" s="129">
        <v>7.1886323220708368</v>
      </c>
      <c r="N291" s="129">
        <v>11309.693028882504</v>
      </c>
      <c r="O291" s="129"/>
      <c r="P291" s="117">
        <v>29019</v>
      </c>
      <c r="Q291" s="161">
        <v>68360</v>
      </c>
      <c r="R291" s="161">
        <v>-17</v>
      </c>
      <c r="S291" s="161">
        <v>-39358</v>
      </c>
      <c r="T291" s="124">
        <v>21815</v>
      </c>
      <c r="U291" s="124">
        <v>18042</v>
      </c>
      <c r="V291" s="136"/>
      <c r="X291" s="116">
        <v>-81</v>
      </c>
      <c r="Y291" s="116">
        <v>16</v>
      </c>
      <c r="Z291" s="161">
        <v>434</v>
      </c>
      <c r="AA291" s="116">
        <v>3088</v>
      </c>
      <c r="AB291" s="116">
        <v>0</v>
      </c>
      <c r="AD291" s="161">
        <v>-2654</v>
      </c>
      <c r="AE291" s="116">
        <v>0</v>
      </c>
      <c r="AF291" s="116">
        <v>67</v>
      </c>
      <c r="AG291" s="116">
        <v>-3</v>
      </c>
      <c r="AH291" s="116">
        <v>0</v>
      </c>
      <c r="AI291" s="160">
        <v>-2590</v>
      </c>
      <c r="AJ291" s="161">
        <v>8437</v>
      </c>
      <c r="AK291" s="161">
        <v>551</v>
      </c>
      <c r="AL291" s="150"/>
      <c r="AM291" s="161">
        <v>-45</v>
      </c>
      <c r="AN291" s="161">
        <v>-1155</v>
      </c>
      <c r="AO291" s="160">
        <v>-3979</v>
      </c>
      <c r="AQ291" s="160"/>
      <c r="AR291" s="117"/>
      <c r="AS291" s="117"/>
      <c r="AT291" s="99">
        <v>21</v>
      </c>
      <c r="AU291" s="130"/>
      <c r="AV291" s="262">
        <v>278</v>
      </c>
      <c r="AW291" s="267">
        <v>6461</v>
      </c>
      <c r="AX291" s="124"/>
      <c r="AY291" s="255">
        <v>-0.68896321070234112</v>
      </c>
      <c r="AZ291" s="259">
        <v>55.925624400314014</v>
      </c>
      <c r="BA291" s="160">
        <v>-4360.6252902027545</v>
      </c>
      <c r="BB291" s="130"/>
      <c r="BC291" s="130"/>
      <c r="BD291" s="130"/>
      <c r="BE291" s="128">
        <v>35.065221501039765</v>
      </c>
      <c r="BF291" s="160">
        <v>3738.8973966309341</v>
      </c>
      <c r="BG291" s="129">
        <v>6.6227935107968623</v>
      </c>
      <c r="BH291" s="131">
        <v>12564.7732549141</v>
      </c>
      <c r="BI291" s="124"/>
      <c r="BJ291" s="117">
        <v>27442</v>
      </c>
      <c r="BK291" s="117">
        <v>69674</v>
      </c>
      <c r="BL291" s="161">
        <v>-27</v>
      </c>
      <c r="BM291" s="161">
        <v>-42259</v>
      </c>
      <c r="BN291" s="117">
        <v>22616</v>
      </c>
      <c r="BO291" s="117">
        <v>18728</v>
      </c>
      <c r="BP291" s="136"/>
      <c r="BR291" s="160">
        <v>-86</v>
      </c>
      <c r="BS291" s="160">
        <v>85</v>
      </c>
      <c r="BT291" s="161">
        <v>-916</v>
      </c>
      <c r="BU291" s="125">
        <v>2451</v>
      </c>
      <c r="BV291" s="160">
        <v>0</v>
      </c>
      <c r="BX291" s="161">
        <v>-3367</v>
      </c>
      <c r="BY291" s="160">
        <v>0</v>
      </c>
      <c r="BZ291" s="160">
        <v>40</v>
      </c>
      <c r="CA291" s="160">
        <v>0</v>
      </c>
      <c r="CB291" s="160">
        <v>0</v>
      </c>
      <c r="CC291" s="160">
        <v>-3327</v>
      </c>
      <c r="CD291" s="160">
        <v>5070</v>
      </c>
      <c r="CE291" s="116">
        <v>752</v>
      </c>
      <c r="CF291" s="150"/>
      <c r="CG291" s="161">
        <v>-2079</v>
      </c>
      <c r="CH291" s="160">
        <v>-1104</v>
      </c>
      <c r="CI291" s="159">
        <v>-7273</v>
      </c>
      <c r="CK291" s="124"/>
      <c r="CL291" s="161"/>
      <c r="CM291" s="124"/>
      <c r="CN291" s="265">
        <v>21</v>
      </c>
      <c r="CO291" s="130"/>
      <c r="CP291" s="116">
        <v>282</v>
      </c>
      <c r="CQ291" s="267">
        <v>6388</v>
      </c>
      <c r="CR291" s="124"/>
      <c r="CS291" s="268">
        <v>1.9820008371703641</v>
      </c>
      <c r="CT291" s="269">
        <v>68.076475837637574</v>
      </c>
      <c r="CU291" s="160">
        <v>-5697.5579211020668</v>
      </c>
      <c r="CV291" s="130"/>
      <c r="CW291" s="130"/>
      <c r="CX291" s="130"/>
      <c r="CY291" s="269">
        <v>32.15508162190627</v>
      </c>
      <c r="CZ291" s="125">
        <v>1129.3049467752035</v>
      </c>
      <c r="DA291" s="125">
        <v>31.657469191463782</v>
      </c>
      <c r="DB291" s="273">
        <v>13020.507201001879</v>
      </c>
      <c r="DC291" s="124"/>
      <c r="DD291" s="117">
        <v>28370</v>
      </c>
      <c r="DE291" s="117">
        <v>69335</v>
      </c>
      <c r="DF291" s="117">
        <v>8</v>
      </c>
      <c r="DG291" s="117">
        <v>-40957</v>
      </c>
      <c r="DH291" s="117">
        <v>23523</v>
      </c>
      <c r="DI291" s="117">
        <v>22065</v>
      </c>
      <c r="DJ291" s="136"/>
      <c r="DL291" s="160">
        <v>-148</v>
      </c>
      <c r="DM291" s="160">
        <v>94</v>
      </c>
      <c r="DN291" s="161">
        <v>4577</v>
      </c>
      <c r="DO291" s="116">
        <v>2517</v>
      </c>
      <c r="DP291" s="160">
        <v>0</v>
      </c>
      <c r="DR291" s="161">
        <v>2060</v>
      </c>
      <c r="DS291" s="116">
        <v>15</v>
      </c>
      <c r="DT291" s="116">
        <v>-19</v>
      </c>
      <c r="DU291" s="116">
        <v>2</v>
      </c>
      <c r="DV291" s="116">
        <v>0</v>
      </c>
      <c r="DW291" s="160">
        <v>2054</v>
      </c>
      <c r="DX291" s="160">
        <v>7313</v>
      </c>
      <c r="DY291" s="116">
        <v>2892</v>
      </c>
      <c r="DZ291" s="150"/>
      <c r="EA291" s="117">
        <v>-465</v>
      </c>
      <c r="EB291" s="116">
        <v>-2231</v>
      </c>
      <c r="EC291" s="159">
        <v>-8190</v>
      </c>
      <c r="EE291" s="125"/>
      <c r="EF291" s="161"/>
      <c r="EG291" s="124"/>
      <c r="EH291" s="253">
        <v>21.5</v>
      </c>
      <c r="EI291" s="130"/>
      <c r="EJ291" s="125">
        <v>254</v>
      </c>
      <c r="EK291" s="116"/>
      <c r="EL291" s="159"/>
      <c r="EN291" s="116"/>
      <c r="EO291" s="116"/>
      <c r="EP291" s="159"/>
      <c r="EQ291" s="159">
        <v>-5131</v>
      </c>
      <c r="ER291" s="116">
        <v>418</v>
      </c>
      <c r="ES291" s="116">
        <v>183</v>
      </c>
      <c r="ET291" s="160">
        <v>-10249</v>
      </c>
      <c r="EU291" s="116">
        <v>603</v>
      </c>
      <c r="EV291" s="116">
        <v>1621</v>
      </c>
      <c r="EW291" s="160">
        <v>-11406</v>
      </c>
      <c r="EX291" s="160">
        <v>242</v>
      </c>
      <c r="EY291" s="160">
        <v>82</v>
      </c>
      <c r="EZ291" s="116">
        <v>1269</v>
      </c>
      <c r="FA291" s="116">
        <v>1340</v>
      </c>
      <c r="FB291" s="116">
        <v>11040</v>
      </c>
      <c r="FC291" s="160">
        <v>2285</v>
      </c>
      <c r="FD291" s="116">
        <v>15656</v>
      </c>
      <c r="FE291" s="116">
        <v>-1979</v>
      </c>
      <c r="FF291" s="3">
        <v>12010</v>
      </c>
      <c r="FG291" s="3">
        <v>7383</v>
      </c>
      <c r="FH291" s="3">
        <v>4627</v>
      </c>
      <c r="FI291" s="3">
        <v>3</v>
      </c>
      <c r="FJ291" s="125">
        <v>24231</v>
      </c>
      <c r="FK291" s="160">
        <v>16227</v>
      </c>
      <c r="FL291" s="125">
        <v>8004</v>
      </c>
      <c r="FM291" s="116">
        <v>3</v>
      </c>
      <c r="FN291" s="125">
        <v>35677</v>
      </c>
      <c r="FO291" s="116">
        <v>29648</v>
      </c>
      <c r="FP291" s="116">
        <v>6029</v>
      </c>
      <c r="FQ291" s="116">
        <v>-465</v>
      </c>
      <c r="FR291" s="153">
        <v>1167</v>
      </c>
      <c r="FS291" s="153">
        <v>1054</v>
      </c>
      <c r="FT291" s="276">
        <v>940</v>
      </c>
      <c r="FU291" s="3">
        <v>1223</v>
      </c>
      <c r="FV291" s="159">
        <v>1191</v>
      </c>
      <c r="FW291" s="170"/>
      <c r="FZ291" s="155"/>
      <c r="GA291" s="2"/>
      <c r="GD291" s="163"/>
      <c r="GE291" s="2"/>
      <c r="GF291" s="2"/>
    </row>
    <row r="292" spans="1:188" ht="14.5" x14ac:dyDescent="0.35">
      <c r="A292" s="72">
        <v>976</v>
      </c>
      <c r="B292" s="70" t="s">
        <v>280</v>
      </c>
      <c r="C292" s="158">
        <v>4022</v>
      </c>
      <c r="D292" s="171"/>
      <c r="E292" s="128">
        <v>2.724007561436673</v>
      </c>
      <c r="F292" s="128">
        <v>21.414879952573855</v>
      </c>
      <c r="G292" s="129">
        <v>587.51864743908504</v>
      </c>
      <c r="H292" s="216"/>
      <c r="I292" s="172"/>
      <c r="J292" s="218"/>
      <c r="K292" s="128">
        <v>72.698504668731758</v>
      </c>
      <c r="L292" s="129">
        <v>2599.4530084535058</v>
      </c>
      <c r="M292" s="129">
        <v>70.37742286483595</v>
      </c>
      <c r="N292" s="129">
        <v>13481.601193436101</v>
      </c>
      <c r="O292" s="129"/>
      <c r="P292" s="117">
        <v>18048</v>
      </c>
      <c r="Q292" s="161">
        <v>49049</v>
      </c>
      <c r="R292" s="161">
        <v>0</v>
      </c>
      <c r="S292" s="161">
        <v>-31001</v>
      </c>
      <c r="T292" s="124">
        <v>12490</v>
      </c>
      <c r="U292" s="124">
        <v>20067</v>
      </c>
      <c r="V292" s="136"/>
      <c r="X292" s="116">
        <v>-5</v>
      </c>
      <c r="Y292" s="116">
        <v>-128</v>
      </c>
      <c r="Z292" s="161">
        <v>1423</v>
      </c>
      <c r="AA292" s="116">
        <v>2865</v>
      </c>
      <c r="AB292" s="116">
        <v>0</v>
      </c>
      <c r="AD292" s="161">
        <v>-1442</v>
      </c>
      <c r="AE292" s="116">
        <v>0</v>
      </c>
      <c r="AF292" s="116">
        <v>212</v>
      </c>
      <c r="AG292" s="116">
        <v>-9</v>
      </c>
      <c r="AH292" s="116">
        <v>0</v>
      </c>
      <c r="AI292" s="160">
        <v>-1239</v>
      </c>
      <c r="AJ292" s="161">
        <v>10339</v>
      </c>
      <c r="AK292" s="161">
        <v>1529</v>
      </c>
      <c r="AL292" s="150"/>
      <c r="AM292" s="161">
        <v>-15</v>
      </c>
      <c r="AN292" s="161">
        <v>-511</v>
      </c>
      <c r="AO292" s="160">
        <v>-1898</v>
      </c>
      <c r="AQ292" s="160"/>
      <c r="AR292" s="117"/>
      <c r="AS292" s="117"/>
      <c r="AT292" s="99">
        <v>20</v>
      </c>
      <c r="AU292" s="130"/>
      <c r="AV292" s="262">
        <v>197</v>
      </c>
      <c r="AW292" s="267">
        <v>3918</v>
      </c>
      <c r="AX292" s="124"/>
      <c r="AY292" s="255">
        <v>-0.61936475409836067</v>
      </c>
      <c r="AZ292" s="259">
        <v>29.007277477141258</v>
      </c>
      <c r="BA292" s="160">
        <v>598.00918836140897</v>
      </c>
      <c r="BB292" s="130"/>
      <c r="BC292" s="130"/>
      <c r="BD292" s="130"/>
      <c r="BE292" s="128">
        <v>65.683013847735381</v>
      </c>
      <c r="BF292" s="160">
        <v>865.42117338577521</v>
      </c>
      <c r="BG292" s="129">
        <v>75.300426220450689</v>
      </c>
      <c r="BH292" s="131">
        <v>12934.660541092395</v>
      </c>
      <c r="BI292" s="124"/>
      <c r="BJ292" s="117">
        <v>21205</v>
      </c>
      <c r="BK292" s="117">
        <v>51851</v>
      </c>
      <c r="BL292" s="161">
        <v>0</v>
      </c>
      <c r="BM292" s="161">
        <v>-30646</v>
      </c>
      <c r="BN292" s="117">
        <v>12569</v>
      </c>
      <c r="BO292" s="117">
        <v>19816</v>
      </c>
      <c r="BP292" s="136"/>
      <c r="BR292" s="160">
        <v>-13</v>
      </c>
      <c r="BS292" s="160">
        <v>670</v>
      </c>
      <c r="BT292" s="161">
        <v>2396</v>
      </c>
      <c r="BU292" s="125">
        <v>2279</v>
      </c>
      <c r="BV292" s="160">
        <v>0</v>
      </c>
      <c r="BX292" s="161">
        <v>117</v>
      </c>
      <c r="BY292" s="160">
        <v>0</v>
      </c>
      <c r="BZ292" s="160">
        <v>61</v>
      </c>
      <c r="CA292" s="160">
        <v>7</v>
      </c>
      <c r="CB292" s="160">
        <v>0</v>
      </c>
      <c r="CC292" s="160">
        <v>171</v>
      </c>
      <c r="CD292" s="160">
        <v>10343</v>
      </c>
      <c r="CE292" s="116">
        <v>2437</v>
      </c>
      <c r="CF292" s="150"/>
      <c r="CG292" s="161">
        <v>-139</v>
      </c>
      <c r="CH292" s="160">
        <v>-3926</v>
      </c>
      <c r="CI292" s="159">
        <v>-273</v>
      </c>
      <c r="CK292" s="124"/>
      <c r="CL292" s="161"/>
      <c r="CM292" s="124"/>
      <c r="CN292" s="265">
        <v>20</v>
      </c>
      <c r="CO292" s="130"/>
      <c r="CP292" s="116">
        <v>84</v>
      </c>
      <c r="CQ292" s="267">
        <v>3890</v>
      </c>
      <c r="CR292" s="124"/>
      <c r="CS292" s="268">
        <v>3.9758713136729225</v>
      </c>
      <c r="CT292" s="269">
        <v>30.786639897791567</v>
      </c>
      <c r="CU292" s="160">
        <v>-387.40359897172237</v>
      </c>
      <c r="CV292" s="130"/>
      <c r="CW292" s="130"/>
      <c r="CX292" s="130"/>
      <c r="CY292" s="269">
        <v>64.586051765439066</v>
      </c>
      <c r="CZ292" s="125">
        <v>3119.0231362467866</v>
      </c>
      <c r="DA292" s="125">
        <v>74.887462797619051</v>
      </c>
      <c r="DB292" s="273">
        <v>15202.056555269923</v>
      </c>
      <c r="DC292" s="124"/>
      <c r="DD292" s="117">
        <v>20304</v>
      </c>
      <c r="DE292" s="117">
        <v>51987</v>
      </c>
      <c r="DF292" s="117">
        <v>0</v>
      </c>
      <c r="DG292" s="117">
        <v>-31683</v>
      </c>
      <c r="DH292" s="117">
        <v>12513</v>
      </c>
      <c r="DI292" s="117">
        <v>21973</v>
      </c>
      <c r="DJ292" s="136"/>
      <c r="DL292" s="160">
        <v>-32</v>
      </c>
      <c r="DM292" s="160">
        <v>157</v>
      </c>
      <c r="DN292" s="161">
        <v>2928</v>
      </c>
      <c r="DO292" s="116">
        <v>2348</v>
      </c>
      <c r="DP292" s="160">
        <v>-2</v>
      </c>
      <c r="DR292" s="161">
        <v>578</v>
      </c>
      <c r="DS292" s="116">
        <v>-1</v>
      </c>
      <c r="DT292" s="116">
        <v>368</v>
      </c>
      <c r="DU292" s="116">
        <v>0</v>
      </c>
      <c r="DV292" s="116">
        <v>-1</v>
      </c>
      <c r="DW292" s="160">
        <v>944</v>
      </c>
      <c r="DX292" s="160">
        <v>11305</v>
      </c>
      <c r="DY292" s="116">
        <v>2762</v>
      </c>
      <c r="DZ292" s="150"/>
      <c r="EA292" s="117">
        <v>419</v>
      </c>
      <c r="EB292" s="116">
        <v>-708</v>
      </c>
      <c r="EC292" s="159">
        <v>-3524</v>
      </c>
      <c r="EE292" s="125"/>
      <c r="EF292" s="161"/>
      <c r="EG292" s="124"/>
      <c r="EH292" s="253">
        <v>20</v>
      </c>
      <c r="EI292" s="130"/>
      <c r="EJ292" s="125">
        <v>239</v>
      </c>
      <c r="EK292" s="116"/>
      <c r="EL292" s="159"/>
      <c r="EN292" s="116"/>
      <c r="EO292" s="116"/>
      <c r="EP292" s="159"/>
      <c r="EQ292" s="159">
        <v>-4423</v>
      </c>
      <c r="ER292" s="116">
        <v>139</v>
      </c>
      <c r="ES292" s="116">
        <v>857</v>
      </c>
      <c r="ET292" s="160">
        <v>-2915</v>
      </c>
      <c r="EU292" s="116">
        <v>169</v>
      </c>
      <c r="EV292" s="116">
        <v>36</v>
      </c>
      <c r="EW292" s="160">
        <v>-6373</v>
      </c>
      <c r="EX292" s="160">
        <v>74</v>
      </c>
      <c r="EY292" s="160">
        <v>13</v>
      </c>
      <c r="EZ292" s="116">
        <v>34</v>
      </c>
      <c r="FA292" s="116">
        <v>327</v>
      </c>
      <c r="FB292" s="116">
        <v>90</v>
      </c>
      <c r="FC292" s="160">
        <v>116</v>
      </c>
      <c r="FD292" s="116">
        <v>242</v>
      </c>
      <c r="FE292" s="116">
        <v>181</v>
      </c>
      <c r="FF292" s="3">
        <v>3804</v>
      </c>
      <c r="FG292" s="3">
        <v>2907</v>
      </c>
      <c r="FH292" s="3">
        <v>897</v>
      </c>
      <c r="FI292" s="3">
        <v>172</v>
      </c>
      <c r="FJ292" s="125">
        <v>7949</v>
      </c>
      <c r="FK292" s="160">
        <v>6781</v>
      </c>
      <c r="FL292" s="125">
        <v>1168</v>
      </c>
      <c r="FM292" s="116">
        <v>165</v>
      </c>
      <c r="FN292" s="125">
        <v>7666</v>
      </c>
      <c r="FO292" s="116">
        <v>6316</v>
      </c>
      <c r="FP292" s="116">
        <v>1350</v>
      </c>
      <c r="FQ292" s="116">
        <v>419</v>
      </c>
      <c r="FR292" s="153">
        <v>889</v>
      </c>
      <c r="FS292" s="153">
        <v>772</v>
      </c>
      <c r="FT292" s="276">
        <v>547</v>
      </c>
      <c r="FU292" s="3">
        <v>1325</v>
      </c>
      <c r="FV292" s="159">
        <v>1225</v>
      </c>
      <c r="FW292" s="170"/>
      <c r="FZ292" s="155"/>
      <c r="GA292" s="2"/>
      <c r="GD292" s="163"/>
      <c r="GE292" s="2"/>
      <c r="GF292" s="2"/>
    </row>
    <row r="293" spans="1:188" ht="14.5" x14ac:dyDescent="0.35">
      <c r="A293" s="72">
        <v>977</v>
      </c>
      <c r="B293" s="70" t="s">
        <v>281</v>
      </c>
      <c r="C293" s="158">
        <v>15212</v>
      </c>
      <c r="D293" s="171"/>
      <c r="E293" s="128">
        <v>0.62244731253063224</v>
      </c>
      <c r="F293" s="128">
        <v>66.964522144784809</v>
      </c>
      <c r="G293" s="129">
        <v>-6599.5266894556926</v>
      </c>
      <c r="H293" s="216"/>
      <c r="I293" s="172"/>
      <c r="J293" s="218"/>
      <c r="K293" s="128">
        <v>17.15089810446155</v>
      </c>
      <c r="L293" s="129">
        <v>586.7078622140416</v>
      </c>
      <c r="M293" s="129">
        <v>16.705597891303679</v>
      </c>
      <c r="N293" s="129">
        <v>12818.958716802525</v>
      </c>
      <c r="O293" s="129"/>
      <c r="P293" s="117">
        <v>83119</v>
      </c>
      <c r="Q293" s="161">
        <v>173989</v>
      </c>
      <c r="R293" s="161">
        <v>15</v>
      </c>
      <c r="S293" s="161">
        <v>-90855</v>
      </c>
      <c r="T293" s="124">
        <v>53415</v>
      </c>
      <c r="U293" s="124">
        <v>40957</v>
      </c>
      <c r="V293" s="136"/>
      <c r="X293" s="116">
        <v>-353</v>
      </c>
      <c r="Y293" s="116">
        <v>146</v>
      </c>
      <c r="Z293" s="161">
        <v>3310</v>
      </c>
      <c r="AA293" s="116">
        <v>10538</v>
      </c>
      <c r="AB293" s="116">
        <v>266</v>
      </c>
      <c r="AD293" s="161">
        <v>-6962</v>
      </c>
      <c r="AE293" s="116">
        <v>-2</v>
      </c>
      <c r="AF293" s="116">
        <v>-2</v>
      </c>
      <c r="AG293" s="116">
        <v>-27</v>
      </c>
      <c r="AH293" s="116">
        <v>1</v>
      </c>
      <c r="AI293" s="160">
        <v>-6992</v>
      </c>
      <c r="AJ293" s="161">
        <v>5600</v>
      </c>
      <c r="AK293" s="161">
        <v>3155</v>
      </c>
      <c r="AL293" s="150"/>
      <c r="AM293" s="161">
        <v>-369</v>
      </c>
      <c r="AN293" s="161">
        <v>-5621</v>
      </c>
      <c r="AO293" s="160">
        <v>-10641</v>
      </c>
      <c r="AQ293" s="160"/>
      <c r="AR293" s="117"/>
      <c r="AS293" s="117"/>
      <c r="AT293" s="99">
        <v>21.5</v>
      </c>
      <c r="AU293" s="130"/>
      <c r="AV293" s="262">
        <v>248</v>
      </c>
      <c r="AW293" s="267">
        <v>15255</v>
      </c>
      <c r="AX293" s="124"/>
      <c r="AY293" s="255">
        <v>0.36244709503655254</v>
      </c>
      <c r="AZ293" s="259">
        <v>78.895451699828527</v>
      </c>
      <c r="BA293" s="160">
        <v>-8010.029498525073</v>
      </c>
      <c r="BB293" s="130"/>
      <c r="BC293" s="130"/>
      <c r="BD293" s="130"/>
      <c r="BE293" s="128">
        <v>12.025430552717919</v>
      </c>
      <c r="BF293" s="160">
        <v>844.01876465989051</v>
      </c>
      <c r="BG293" s="129">
        <v>15.223044679031556</v>
      </c>
      <c r="BH293" s="131">
        <v>14027.728613569321</v>
      </c>
      <c r="BI293" s="124"/>
      <c r="BJ293" s="117">
        <v>86028</v>
      </c>
      <c r="BK293" s="117">
        <v>181163</v>
      </c>
      <c r="BL293" s="161">
        <v>-77</v>
      </c>
      <c r="BM293" s="161">
        <v>-95212</v>
      </c>
      <c r="BN293" s="117">
        <v>54796</v>
      </c>
      <c r="BO293" s="117">
        <v>42871</v>
      </c>
      <c r="BP293" s="136"/>
      <c r="BR293" s="160">
        <v>-276</v>
      </c>
      <c r="BS293" s="160">
        <v>178</v>
      </c>
      <c r="BT293" s="161">
        <v>2357</v>
      </c>
      <c r="BU293" s="125">
        <v>8019</v>
      </c>
      <c r="BV293" s="160">
        <v>0</v>
      </c>
      <c r="BX293" s="161">
        <v>-5662</v>
      </c>
      <c r="BY293" s="160">
        <v>12</v>
      </c>
      <c r="BZ293" s="160">
        <v>16</v>
      </c>
      <c r="CA293" s="160">
        <v>19</v>
      </c>
      <c r="CB293" s="160">
        <v>5</v>
      </c>
      <c r="CC293" s="160">
        <v>-5648</v>
      </c>
      <c r="CD293" s="160">
        <v>660</v>
      </c>
      <c r="CE293" s="116">
        <v>1566</v>
      </c>
      <c r="CF293" s="150"/>
      <c r="CG293" s="160">
        <v>749</v>
      </c>
      <c r="CH293" s="160">
        <v>-7328</v>
      </c>
      <c r="CI293" s="159">
        <v>-22021</v>
      </c>
      <c r="CK293" s="124"/>
      <c r="CL293" s="161"/>
      <c r="CM293" s="124"/>
      <c r="CN293" s="265">
        <v>22</v>
      </c>
      <c r="CO293" s="130"/>
      <c r="CP293" s="116">
        <v>249</v>
      </c>
      <c r="CQ293" s="267">
        <v>15304</v>
      </c>
      <c r="CR293" s="124"/>
      <c r="CS293" s="268">
        <v>4.3882143914717204</v>
      </c>
      <c r="CT293" s="269">
        <v>80.543671561404395</v>
      </c>
      <c r="CU293" s="160">
        <v>-8807.7626764244633</v>
      </c>
      <c r="CV293" s="130"/>
      <c r="CW293" s="130"/>
      <c r="CX293" s="130"/>
      <c r="CY293" s="269">
        <v>13.985502176826085</v>
      </c>
      <c r="CZ293" s="125">
        <v>930.34500784108729</v>
      </c>
      <c r="DA293" s="125">
        <v>24.364363472700166</v>
      </c>
      <c r="DB293" s="273">
        <v>13937.401986408782</v>
      </c>
      <c r="DC293" s="124"/>
      <c r="DD293" s="117">
        <v>86909</v>
      </c>
      <c r="DE293" s="117">
        <v>182415</v>
      </c>
      <c r="DF293" s="117">
        <v>177</v>
      </c>
      <c r="DG293" s="117">
        <v>-95329</v>
      </c>
      <c r="DH293" s="117">
        <v>57246</v>
      </c>
      <c r="DI293" s="117">
        <v>52655</v>
      </c>
      <c r="DJ293" s="136"/>
      <c r="DL293" s="160">
        <v>-674</v>
      </c>
      <c r="DM293" s="160">
        <v>109</v>
      </c>
      <c r="DN293" s="161">
        <v>14007</v>
      </c>
      <c r="DO293" s="116">
        <v>8037</v>
      </c>
      <c r="DP293" s="160">
        <v>0</v>
      </c>
      <c r="DR293" s="161">
        <v>5970</v>
      </c>
      <c r="DS293" s="116">
        <v>0</v>
      </c>
      <c r="DT293" s="116">
        <v>-12</v>
      </c>
      <c r="DU293" s="116">
        <v>7</v>
      </c>
      <c r="DV293" s="116">
        <v>-16</v>
      </c>
      <c r="DW293" s="160">
        <v>5935</v>
      </c>
      <c r="DX293" s="160">
        <v>6613</v>
      </c>
      <c r="DY293" s="116">
        <v>13478</v>
      </c>
      <c r="DZ293" s="150"/>
      <c r="EA293" s="116">
        <v>48</v>
      </c>
      <c r="EB293" s="116">
        <v>-2565</v>
      </c>
      <c r="EC293" s="159">
        <v>-12227</v>
      </c>
      <c r="EE293" s="125"/>
      <c r="EF293" s="161"/>
      <c r="EG293" s="124"/>
      <c r="EH293" s="253">
        <v>22</v>
      </c>
      <c r="EI293" s="130"/>
      <c r="EJ293" s="125">
        <v>184</v>
      </c>
      <c r="EK293" s="116"/>
      <c r="EL293" s="159"/>
      <c r="EN293" s="116"/>
      <c r="EO293" s="116"/>
      <c r="EP293" s="159"/>
      <c r="EQ293" s="159">
        <v>-14843</v>
      </c>
      <c r="ER293" s="116">
        <v>49</v>
      </c>
      <c r="ES293" s="116">
        <v>998</v>
      </c>
      <c r="ET293" s="160">
        <v>-24994</v>
      </c>
      <c r="EU293" s="116">
        <v>304</v>
      </c>
      <c r="EV293" s="116">
        <v>1103</v>
      </c>
      <c r="EW293" s="160">
        <v>-27454</v>
      </c>
      <c r="EX293" s="160">
        <v>229</v>
      </c>
      <c r="EY293" s="160">
        <v>1520</v>
      </c>
      <c r="EZ293" s="116">
        <v>1993</v>
      </c>
      <c r="FA293" s="116">
        <v>12998</v>
      </c>
      <c r="FB293" s="116">
        <v>1264</v>
      </c>
      <c r="FC293" s="160">
        <v>30996</v>
      </c>
      <c r="FD293" s="116">
        <v>60768</v>
      </c>
      <c r="FE293" s="116">
        <v>-43910</v>
      </c>
      <c r="FF293" s="3">
        <v>93549</v>
      </c>
      <c r="FG293" s="3">
        <v>13173</v>
      </c>
      <c r="FH293" s="3">
        <v>80376</v>
      </c>
      <c r="FI293" s="3">
        <v>2</v>
      </c>
      <c r="FJ293" s="125">
        <v>119193</v>
      </c>
      <c r="FK293" s="160">
        <v>11810</v>
      </c>
      <c r="FL293" s="125">
        <v>107383</v>
      </c>
      <c r="FM293" s="116">
        <v>2</v>
      </c>
      <c r="FN293" s="125">
        <v>133451</v>
      </c>
      <c r="FO293" s="116">
        <v>43321</v>
      </c>
      <c r="FP293" s="116">
        <v>90130</v>
      </c>
      <c r="FQ293" s="116">
        <v>48</v>
      </c>
      <c r="FR293" s="153">
        <v>5400</v>
      </c>
      <c r="FS293" s="153">
        <v>5180</v>
      </c>
      <c r="FT293" s="276">
        <v>4936</v>
      </c>
      <c r="FU293" s="3">
        <v>6797</v>
      </c>
      <c r="FV293" s="159">
        <v>5246</v>
      </c>
      <c r="FW293" s="170"/>
      <c r="FZ293" s="155"/>
      <c r="GA293" s="2"/>
      <c r="GD293" s="163"/>
      <c r="GE293" s="2"/>
      <c r="GF293" s="2"/>
    </row>
    <row r="294" spans="1:188" ht="14.5" x14ac:dyDescent="0.35">
      <c r="A294" s="72">
        <v>980</v>
      </c>
      <c r="B294" s="70" t="s">
        <v>282</v>
      </c>
      <c r="C294" s="158">
        <v>32983</v>
      </c>
      <c r="D294" s="171"/>
      <c r="E294" s="128">
        <v>1.1854117647058824</v>
      </c>
      <c r="F294" s="128">
        <v>61.991207144687813</v>
      </c>
      <c r="G294" s="129">
        <v>-3247.3395385501622</v>
      </c>
      <c r="H294" s="216"/>
      <c r="I294" s="172"/>
      <c r="J294" s="218"/>
      <c r="K294" s="128">
        <v>41.349311080255099</v>
      </c>
      <c r="L294" s="129">
        <v>854.22793560318951</v>
      </c>
      <c r="M294" s="129">
        <v>37.215111313762954</v>
      </c>
      <c r="N294" s="129">
        <v>8378.1341903404791</v>
      </c>
      <c r="O294" s="129"/>
      <c r="P294" s="117">
        <v>87459</v>
      </c>
      <c r="Q294" s="161">
        <v>235201</v>
      </c>
      <c r="R294" s="161">
        <v>13</v>
      </c>
      <c r="S294" s="161">
        <v>-147729</v>
      </c>
      <c r="T294" s="124">
        <v>125337</v>
      </c>
      <c r="U294" s="124">
        <v>40819</v>
      </c>
      <c r="V294" s="136"/>
      <c r="X294" s="116">
        <v>-1239</v>
      </c>
      <c r="Y294" s="116">
        <v>1701</v>
      </c>
      <c r="Z294" s="161">
        <v>18889</v>
      </c>
      <c r="AA294" s="116">
        <v>15146</v>
      </c>
      <c r="AB294" s="117">
        <v>0</v>
      </c>
      <c r="AD294" s="161">
        <v>3743</v>
      </c>
      <c r="AE294" s="116">
        <v>-189</v>
      </c>
      <c r="AF294" s="116">
        <v>1</v>
      </c>
      <c r="AG294" s="116">
        <v>-138</v>
      </c>
      <c r="AH294" s="116">
        <v>-15</v>
      </c>
      <c r="AI294" s="160">
        <v>3402</v>
      </c>
      <c r="AJ294" s="161">
        <v>54203</v>
      </c>
      <c r="AK294" s="161">
        <v>13752</v>
      </c>
      <c r="AL294" s="150"/>
      <c r="AM294" s="161">
        <v>-621</v>
      </c>
      <c r="AN294" s="161">
        <v>-15737</v>
      </c>
      <c r="AO294" s="160">
        <v>-3134</v>
      </c>
      <c r="AQ294" s="160"/>
      <c r="AR294" s="117"/>
      <c r="AS294" s="117"/>
      <c r="AT294" s="99">
        <v>20.5</v>
      </c>
      <c r="AU294" s="130"/>
      <c r="AV294" s="262">
        <v>124</v>
      </c>
      <c r="AW294" s="267">
        <v>33254</v>
      </c>
      <c r="AX294" s="124"/>
      <c r="AY294" s="255">
        <v>0.7926558086423463</v>
      </c>
      <c r="AZ294" s="259">
        <v>61.155628089009895</v>
      </c>
      <c r="BA294" s="160">
        <v>-3355.0851025440547</v>
      </c>
      <c r="BB294" s="130"/>
      <c r="BC294" s="130"/>
      <c r="BD294" s="130"/>
      <c r="BE294" s="128">
        <v>41.115934253523875</v>
      </c>
      <c r="BF294" s="160">
        <v>550.57618437900123</v>
      </c>
      <c r="BG294" s="129">
        <v>35.665175397527271</v>
      </c>
      <c r="BH294" s="131">
        <v>8670.9869489384728</v>
      </c>
      <c r="BI294" s="124"/>
      <c r="BJ294" s="117">
        <v>87306</v>
      </c>
      <c r="BK294" s="117">
        <v>247218</v>
      </c>
      <c r="BL294" s="161">
        <v>71</v>
      </c>
      <c r="BM294" s="161">
        <v>-159841</v>
      </c>
      <c r="BN294" s="117">
        <v>129781</v>
      </c>
      <c r="BO294" s="117">
        <v>41491</v>
      </c>
      <c r="BP294" s="136"/>
      <c r="BR294" s="160">
        <v>-1427</v>
      </c>
      <c r="BS294" s="160">
        <v>1732</v>
      </c>
      <c r="BT294" s="161">
        <v>11736</v>
      </c>
      <c r="BU294" s="125">
        <v>14661</v>
      </c>
      <c r="BV294" s="161">
        <v>0</v>
      </c>
      <c r="BX294" s="161">
        <v>-2925</v>
      </c>
      <c r="BY294" s="160">
        <v>-164</v>
      </c>
      <c r="BZ294" s="160">
        <v>0</v>
      </c>
      <c r="CA294" s="160">
        <v>141</v>
      </c>
      <c r="CB294" s="160">
        <v>-25</v>
      </c>
      <c r="CC294" s="160">
        <v>-3255</v>
      </c>
      <c r="CD294" s="160">
        <v>50953</v>
      </c>
      <c r="CE294" s="116">
        <v>9072</v>
      </c>
      <c r="CF294" s="150"/>
      <c r="CG294" s="160">
        <v>3417</v>
      </c>
      <c r="CH294" s="160">
        <v>-15186</v>
      </c>
      <c r="CI294" s="159">
        <v>-13024</v>
      </c>
      <c r="CK294" s="124"/>
      <c r="CL294" s="161"/>
      <c r="CM294" s="124"/>
      <c r="CN294" s="265">
        <v>20.5</v>
      </c>
      <c r="CO294" s="130"/>
      <c r="CP294" s="116">
        <v>182</v>
      </c>
      <c r="CQ294" s="267">
        <v>33352</v>
      </c>
      <c r="CR294" s="124"/>
      <c r="CS294" s="268">
        <v>1.5417255178907721</v>
      </c>
      <c r="CT294" s="269">
        <v>57.447343196349657</v>
      </c>
      <c r="CU294" s="160">
        <v>-3227.8723914607822</v>
      </c>
      <c r="CV294" s="130"/>
      <c r="CW294" s="130"/>
      <c r="CX294" s="130"/>
      <c r="CY294" s="269">
        <v>42.653122359886773</v>
      </c>
      <c r="CZ294" s="125">
        <v>936.91532741664662</v>
      </c>
      <c r="DA294" s="125">
        <v>39.005365771915365</v>
      </c>
      <c r="DB294" s="273">
        <v>8767.3602782441831</v>
      </c>
      <c r="DC294" s="124"/>
      <c r="DD294" s="117">
        <v>89730</v>
      </c>
      <c r="DE294" s="117">
        <v>254265</v>
      </c>
      <c r="DF294" s="117">
        <v>163</v>
      </c>
      <c r="DG294" s="117">
        <v>-164372</v>
      </c>
      <c r="DH294" s="117">
        <v>134472</v>
      </c>
      <c r="DI294" s="117">
        <v>54347</v>
      </c>
      <c r="DJ294" s="136"/>
      <c r="DL294" s="160">
        <v>-1489</v>
      </c>
      <c r="DM294" s="160">
        <v>1723</v>
      </c>
      <c r="DN294" s="161">
        <v>24681</v>
      </c>
      <c r="DO294" s="116">
        <v>16341</v>
      </c>
      <c r="DP294" s="161">
        <v>0</v>
      </c>
      <c r="DR294" s="161">
        <v>8340</v>
      </c>
      <c r="DS294" s="116">
        <v>-604</v>
      </c>
      <c r="DT294" s="116">
        <v>0</v>
      </c>
      <c r="DU294" s="116">
        <v>348</v>
      </c>
      <c r="DV294" s="116">
        <v>-17</v>
      </c>
      <c r="DW294" s="160">
        <v>7371</v>
      </c>
      <c r="DX294" s="160">
        <v>59055</v>
      </c>
      <c r="DY294" s="116">
        <v>22218</v>
      </c>
      <c r="DZ294" s="150"/>
      <c r="EA294" s="116">
        <v>-2618</v>
      </c>
      <c r="EB294" s="116">
        <v>-15476</v>
      </c>
      <c r="EC294" s="159">
        <v>3575</v>
      </c>
      <c r="EE294" s="125"/>
      <c r="EF294" s="161"/>
      <c r="EG294" s="124"/>
      <c r="EH294" s="253">
        <v>20.5</v>
      </c>
      <c r="EI294" s="130"/>
      <c r="EJ294" s="125">
        <v>241</v>
      </c>
      <c r="EK294" s="116"/>
      <c r="EL294" s="159"/>
      <c r="EN294" s="116"/>
      <c r="EO294" s="116"/>
      <c r="EP294" s="159"/>
      <c r="EQ294" s="159">
        <v>-23260</v>
      </c>
      <c r="ER294" s="116">
        <v>18</v>
      </c>
      <c r="ES294" s="116">
        <v>6356</v>
      </c>
      <c r="ET294" s="160">
        <v>-23822</v>
      </c>
      <c r="EU294" s="116">
        <v>329</v>
      </c>
      <c r="EV294" s="116">
        <v>1397</v>
      </c>
      <c r="EW294" s="160">
        <v>-20558</v>
      </c>
      <c r="EX294" s="160">
        <v>103</v>
      </c>
      <c r="EY294" s="160">
        <v>1812</v>
      </c>
      <c r="EZ294" s="116">
        <v>15312</v>
      </c>
      <c r="FA294" s="116">
        <v>-75</v>
      </c>
      <c r="FB294" s="116">
        <v>20976</v>
      </c>
      <c r="FC294" s="160">
        <v>7</v>
      </c>
      <c r="FD294" s="116">
        <v>24300</v>
      </c>
      <c r="FE294" s="116">
        <v>-5085</v>
      </c>
      <c r="FF294" s="3">
        <v>106427</v>
      </c>
      <c r="FG294" s="3">
        <v>81010</v>
      </c>
      <c r="FH294" s="3">
        <v>25417</v>
      </c>
      <c r="FI294" s="3">
        <v>155</v>
      </c>
      <c r="FJ294" s="125">
        <v>112224</v>
      </c>
      <c r="FK294" s="160">
        <v>86475</v>
      </c>
      <c r="FL294" s="125">
        <v>25749</v>
      </c>
      <c r="FM294" s="116">
        <v>140</v>
      </c>
      <c r="FN294" s="125">
        <v>116683</v>
      </c>
      <c r="FO294" s="116">
        <v>94694</v>
      </c>
      <c r="FP294" s="116">
        <v>21989</v>
      </c>
      <c r="FQ294" s="116">
        <v>-2618</v>
      </c>
      <c r="FR294" s="153">
        <v>9432</v>
      </c>
      <c r="FS294" s="153">
        <v>7941</v>
      </c>
      <c r="FT294" s="276">
        <v>7152</v>
      </c>
      <c r="FU294" s="3">
        <v>35208</v>
      </c>
      <c r="FV294" s="159">
        <v>37297</v>
      </c>
      <c r="FW294" s="170"/>
      <c r="FZ294" s="155"/>
      <c r="GA294" s="2"/>
      <c r="GD294" s="163"/>
      <c r="GE294" s="2"/>
      <c r="GF294" s="2"/>
    </row>
    <row r="295" spans="1:188" ht="14.5" x14ac:dyDescent="0.35">
      <c r="A295" s="72">
        <v>981</v>
      </c>
      <c r="B295" s="70" t="s">
        <v>283</v>
      </c>
      <c r="C295" s="158">
        <v>2357</v>
      </c>
      <c r="D295" s="171"/>
      <c r="E295" s="128">
        <v>-0.25531914893617019</v>
      </c>
      <c r="F295" s="128">
        <v>33.053911900065749</v>
      </c>
      <c r="G295" s="129">
        <v>-2246.9240560033941</v>
      </c>
      <c r="H295" s="216"/>
      <c r="I295" s="172"/>
      <c r="J295" s="218"/>
      <c r="K295" s="128">
        <v>49.556354916067143</v>
      </c>
      <c r="L295" s="129">
        <v>507.84896054306319</v>
      </c>
      <c r="M295" s="129">
        <v>16.662407993592922</v>
      </c>
      <c r="N295" s="129">
        <v>11124.734832414086</v>
      </c>
      <c r="O295" s="129"/>
      <c r="P295" s="117">
        <v>11380</v>
      </c>
      <c r="Q295" s="161">
        <v>24426</v>
      </c>
      <c r="R295" s="161">
        <v>3</v>
      </c>
      <c r="S295" s="161">
        <v>-13043</v>
      </c>
      <c r="T295" s="124">
        <v>7655</v>
      </c>
      <c r="U295" s="124">
        <v>5301</v>
      </c>
      <c r="V295" s="136"/>
      <c r="X295" s="116">
        <v>-15</v>
      </c>
      <c r="Y295" s="116">
        <v>13</v>
      </c>
      <c r="Z295" s="161">
        <v>-89</v>
      </c>
      <c r="AA295" s="116">
        <v>1190</v>
      </c>
      <c r="AB295" s="116">
        <v>4</v>
      </c>
      <c r="AD295" s="161">
        <v>-1275</v>
      </c>
      <c r="AE295" s="117">
        <v>0</v>
      </c>
      <c r="AF295" s="117">
        <v>0</v>
      </c>
      <c r="AG295" s="116">
        <v>-3</v>
      </c>
      <c r="AH295" s="116">
        <v>-6</v>
      </c>
      <c r="AI295" s="160">
        <v>-1284</v>
      </c>
      <c r="AJ295" s="161">
        <v>999</v>
      </c>
      <c r="AK295" s="161">
        <v>-187</v>
      </c>
      <c r="AL295" s="150"/>
      <c r="AM295" s="161">
        <v>596</v>
      </c>
      <c r="AN295" s="161">
        <v>-265</v>
      </c>
      <c r="AO295" s="160">
        <v>-1416</v>
      </c>
      <c r="AQ295" s="160"/>
      <c r="AR295" s="117"/>
      <c r="AS295" s="117"/>
      <c r="AT295" s="99">
        <v>21.5</v>
      </c>
      <c r="AU295" s="130"/>
      <c r="AV295" s="262">
        <v>285</v>
      </c>
      <c r="AW295" s="267">
        <v>2343</v>
      </c>
      <c r="AX295" s="124"/>
      <c r="AY295" s="255">
        <v>1.8571428571428572</v>
      </c>
      <c r="AZ295" s="259">
        <v>36.670741646291766</v>
      </c>
      <c r="BA295" s="160">
        <v>-2528.809218950064</v>
      </c>
      <c r="BB295" s="130"/>
      <c r="BC295" s="130"/>
      <c r="BD295" s="130"/>
      <c r="BE295" s="128">
        <v>46.858668484435356</v>
      </c>
      <c r="BF295" s="160">
        <v>831.73076923076928</v>
      </c>
      <c r="BG295" s="129">
        <v>16.944810735339743</v>
      </c>
      <c r="BH295" s="131">
        <v>11004.694835680752</v>
      </c>
      <c r="BI295" s="124"/>
      <c r="BJ295" s="117">
        <v>11289</v>
      </c>
      <c r="BK295" s="117">
        <v>24048</v>
      </c>
      <c r="BL295" s="161">
        <v>6</v>
      </c>
      <c r="BM295" s="161">
        <v>-12753</v>
      </c>
      <c r="BN295" s="117">
        <v>8003</v>
      </c>
      <c r="BO295" s="117">
        <v>5248</v>
      </c>
      <c r="BP295" s="136"/>
      <c r="BR295" s="160">
        <v>-8</v>
      </c>
      <c r="BS295" s="160">
        <v>7</v>
      </c>
      <c r="BT295" s="161">
        <v>497</v>
      </c>
      <c r="BU295" s="125">
        <v>895</v>
      </c>
      <c r="BV295" s="160">
        <v>6</v>
      </c>
      <c r="BX295" s="161">
        <v>-392</v>
      </c>
      <c r="BY295" s="161">
        <v>0</v>
      </c>
      <c r="BZ295" s="161">
        <v>0</v>
      </c>
      <c r="CA295" s="160">
        <v>0</v>
      </c>
      <c r="CB295" s="160">
        <v>-4</v>
      </c>
      <c r="CC295" s="160">
        <v>-396</v>
      </c>
      <c r="CD295" s="160">
        <v>980</v>
      </c>
      <c r="CE295" s="116">
        <v>454</v>
      </c>
      <c r="CF295" s="150"/>
      <c r="CG295" s="160">
        <v>-225</v>
      </c>
      <c r="CH295" s="160">
        <v>-263</v>
      </c>
      <c r="CI295" s="159">
        <v>-541</v>
      </c>
      <c r="CK295" s="124"/>
      <c r="CL295" s="161"/>
      <c r="CM295" s="124"/>
      <c r="CN295" s="265">
        <v>21.5</v>
      </c>
      <c r="CO295" s="130"/>
      <c r="CP295" s="116">
        <v>236</v>
      </c>
      <c r="CQ295" s="267">
        <v>2314</v>
      </c>
      <c r="CR295" s="124"/>
      <c r="CS295" s="268">
        <v>9.1274131274131278</v>
      </c>
      <c r="CT295" s="269">
        <v>34.173055859802851</v>
      </c>
      <c r="CU295" s="160">
        <v>-1578.6516853932585</v>
      </c>
      <c r="CV295" s="130"/>
      <c r="CW295" s="130"/>
      <c r="CX295" s="130"/>
      <c r="CY295" s="269">
        <v>53.111344654018474</v>
      </c>
      <c r="CZ295" s="125">
        <v>1028.5220397579949</v>
      </c>
      <c r="DA295" s="125">
        <v>39.770178089090329</v>
      </c>
      <c r="DB295" s="273">
        <v>9439.4987035436461</v>
      </c>
      <c r="DC295" s="124"/>
      <c r="DD295" s="117">
        <v>9071</v>
      </c>
      <c r="DE295" s="117">
        <v>21391</v>
      </c>
      <c r="DF295" s="117">
        <v>4</v>
      </c>
      <c r="DG295" s="117">
        <v>-12316</v>
      </c>
      <c r="DH295" s="117">
        <v>8369</v>
      </c>
      <c r="DI295" s="117">
        <v>6298</v>
      </c>
      <c r="DJ295" s="136"/>
      <c r="DL295" s="160">
        <v>-4</v>
      </c>
      <c r="DM295" s="160">
        <v>11</v>
      </c>
      <c r="DN295" s="161">
        <v>2358</v>
      </c>
      <c r="DO295" s="116">
        <v>928</v>
      </c>
      <c r="DP295" s="160">
        <v>-1</v>
      </c>
      <c r="DR295" s="161">
        <v>1429</v>
      </c>
      <c r="DS295" s="117">
        <v>0</v>
      </c>
      <c r="DT295" s="117">
        <v>0</v>
      </c>
      <c r="DU295" s="116">
        <v>0</v>
      </c>
      <c r="DV295" s="116">
        <v>-11</v>
      </c>
      <c r="DW295" s="160">
        <v>1418</v>
      </c>
      <c r="DX295" s="160">
        <v>2333</v>
      </c>
      <c r="DY295" s="116">
        <v>2329</v>
      </c>
      <c r="DZ295" s="150"/>
      <c r="EA295" s="116">
        <v>-312</v>
      </c>
      <c r="EB295" s="116">
        <v>-253</v>
      </c>
      <c r="EC295" s="159">
        <v>2307</v>
      </c>
      <c r="EE295" s="125"/>
      <c r="EF295" s="161"/>
      <c r="EG295" s="124"/>
      <c r="EH295" s="253">
        <v>22</v>
      </c>
      <c r="EI295" s="130"/>
      <c r="EJ295" s="125">
        <v>125</v>
      </c>
      <c r="EK295" s="116"/>
      <c r="EL295" s="159"/>
      <c r="EN295" s="116"/>
      <c r="EO295" s="116"/>
      <c r="EP295" s="159"/>
      <c r="EQ295" s="159">
        <v>-1510</v>
      </c>
      <c r="ER295" s="116">
        <v>50</v>
      </c>
      <c r="ES295" s="116">
        <v>231</v>
      </c>
      <c r="ET295" s="160">
        <v>-1460</v>
      </c>
      <c r="EU295" s="116">
        <v>246</v>
      </c>
      <c r="EV295" s="116">
        <v>219</v>
      </c>
      <c r="EW295" s="160">
        <v>-191</v>
      </c>
      <c r="EX295" s="160">
        <v>24</v>
      </c>
      <c r="EY295" s="160">
        <v>145</v>
      </c>
      <c r="EZ295" s="116">
        <v>41</v>
      </c>
      <c r="FA295" s="116">
        <v>-24</v>
      </c>
      <c r="FB295" s="116">
        <v>91</v>
      </c>
      <c r="FC295" s="160">
        <v>1643</v>
      </c>
      <c r="FD295" s="116">
        <v>731</v>
      </c>
      <c r="FE295" s="116">
        <v>-933</v>
      </c>
      <c r="FF295" s="3">
        <v>4226</v>
      </c>
      <c r="FG295" s="3">
        <v>2510</v>
      </c>
      <c r="FH295" s="3">
        <v>1716</v>
      </c>
      <c r="FI295" s="3">
        <v>16</v>
      </c>
      <c r="FJ295" s="125">
        <v>5754</v>
      </c>
      <c r="FK295" s="160">
        <v>2373</v>
      </c>
      <c r="FL295" s="125">
        <v>3381</v>
      </c>
      <c r="FM295" s="116">
        <v>9</v>
      </c>
      <c r="FN295" s="125">
        <v>5156</v>
      </c>
      <c r="FO295" s="116">
        <v>2875</v>
      </c>
      <c r="FP295" s="116">
        <v>2281</v>
      </c>
      <c r="FQ295" s="116">
        <v>-312</v>
      </c>
      <c r="FR295" s="153">
        <v>559</v>
      </c>
      <c r="FS295" s="153">
        <v>0</v>
      </c>
      <c r="FT295" s="276">
        <v>50</v>
      </c>
      <c r="FU295" s="3">
        <v>67</v>
      </c>
      <c r="FV295" s="159">
        <v>54</v>
      </c>
      <c r="FW295" s="170"/>
      <c r="FZ295" s="155"/>
      <c r="GA295" s="2"/>
      <c r="GD295" s="163"/>
      <c r="GE295" s="2"/>
      <c r="GF295" s="2"/>
    </row>
    <row r="296" spans="1:188" ht="14.5" x14ac:dyDescent="0.35">
      <c r="A296" s="72">
        <v>989</v>
      </c>
      <c r="B296" s="70" t="s">
        <v>284</v>
      </c>
      <c r="C296" s="158">
        <v>5703</v>
      </c>
      <c r="D296" s="171"/>
      <c r="E296" s="128">
        <v>0.65987815491731938</v>
      </c>
      <c r="F296" s="128">
        <v>69.081794421354815</v>
      </c>
      <c r="G296" s="129">
        <v>-9674.2065579519549</v>
      </c>
      <c r="H296" s="216"/>
      <c r="I296" s="172"/>
      <c r="J296" s="218"/>
      <c r="K296" s="128">
        <v>22.958072816607867</v>
      </c>
      <c r="L296" s="129">
        <v>786.42819568648076</v>
      </c>
      <c r="M296" s="129">
        <v>15.035544697227147</v>
      </c>
      <c r="N296" s="129">
        <v>19091.180080659302</v>
      </c>
      <c r="O296" s="129"/>
      <c r="P296" s="117">
        <v>52492</v>
      </c>
      <c r="Q296" s="161">
        <v>86437</v>
      </c>
      <c r="R296" s="161">
        <v>12</v>
      </c>
      <c r="S296" s="161">
        <v>-33933</v>
      </c>
      <c r="T296" s="124">
        <v>20510</v>
      </c>
      <c r="U296" s="124">
        <v>20354</v>
      </c>
      <c r="V296" s="136"/>
      <c r="X296" s="116">
        <v>-363</v>
      </c>
      <c r="Y296" s="116">
        <v>636</v>
      </c>
      <c r="Z296" s="161">
        <v>7204</v>
      </c>
      <c r="AA296" s="116">
        <v>4674</v>
      </c>
      <c r="AB296" s="116">
        <v>0</v>
      </c>
      <c r="AD296" s="161">
        <v>2530</v>
      </c>
      <c r="AE296" s="117">
        <v>-3</v>
      </c>
      <c r="AF296" s="117">
        <v>11</v>
      </c>
      <c r="AG296" s="116">
        <v>-14</v>
      </c>
      <c r="AH296" s="116">
        <v>-52</v>
      </c>
      <c r="AI296" s="160">
        <v>2472</v>
      </c>
      <c r="AJ296" s="161">
        <v>-5411</v>
      </c>
      <c r="AK296" s="161">
        <v>7172</v>
      </c>
      <c r="AL296" s="150"/>
      <c r="AM296" s="161">
        <v>-758</v>
      </c>
      <c r="AN296" s="161">
        <v>-11112</v>
      </c>
      <c r="AO296" s="160">
        <v>-2945</v>
      </c>
      <c r="AQ296" s="160"/>
      <c r="AR296" s="117"/>
      <c r="AS296" s="117"/>
      <c r="AT296" s="99">
        <v>22</v>
      </c>
      <c r="AU296" s="130"/>
      <c r="AV296" s="262">
        <v>10</v>
      </c>
      <c r="AW296" s="267">
        <v>5616</v>
      </c>
      <c r="AX296" s="124"/>
      <c r="AY296" s="255">
        <v>1.0588235294117647</v>
      </c>
      <c r="AZ296" s="259">
        <v>78.39918188715761</v>
      </c>
      <c r="BA296" s="160">
        <v>-9917.9131054131067</v>
      </c>
      <c r="BB296" s="130"/>
      <c r="BC296" s="130"/>
      <c r="BD296" s="130"/>
      <c r="BE296" s="128">
        <v>22.204474544505853</v>
      </c>
      <c r="BF296" s="160">
        <v>878.92352784439117</v>
      </c>
      <c r="BG296" s="129">
        <v>16.297400619232032</v>
      </c>
      <c r="BH296" s="131">
        <v>17885.861823361822</v>
      </c>
      <c r="BI296" s="124"/>
      <c r="BJ296" s="117">
        <v>50232</v>
      </c>
      <c r="BK296" s="117">
        <v>88591</v>
      </c>
      <c r="BL296" s="161">
        <v>5</v>
      </c>
      <c r="BM296" s="161">
        <v>-38354</v>
      </c>
      <c r="BN296" s="117">
        <v>20347</v>
      </c>
      <c r="BO296" s="117">
        <v>20362</v>
      </c>
      <c r="BP296" s="136"/>
      <c r="BR296" s="160">
        <v>-381</v>
      </c>
      <c r="BS296" s="160">
        <v>30</v>
      </c>
      <c r="BT296" s="161">
        <v>2004</v>
      </c>
      <c r="BU296" s="125">
        <v>6268</v>
      </c>
      <c r="BV296" s="160">
        <v>5200</v>
      </c>
      <c r="BX296" s="161">
        <v>936</v>
      </c>
      <c r="BY296" s="161">
        <v>16</v>
      </c>
      <c r="BZ296" s="160">
        <v>0</v>
      </c>
      <c r="CA296" s="160">
        <v>38</v>
      </c>
      <c r="CB296" s="160">
        <v>30</v>
      </c>
      <c r="CC296" s="160">
        <v>944</v>
      </c>
      <c r="CD296" s="160">
        <v>-4493</v>
      </c>
      <c r="CE296" s="116">
        <v>7140</v>
      </c>
      <c r="CF296" s="150"/>
      <c r="CG296" s="160">
        <v>-3490</v>
      </c>
      <c r="CH296" s="160">
        <v>-1871</v>
      </c>
      <c r="CI296" s="159">
        <v>-779</v>
      </c>
      <c r="CK296" s="124"/>
      <c r="CL296" s="161"/>
      <c r="CM296" s="124"/>
      <c r="CN296" s="265">
        <v>22</v>
      </c>
      <c r="CO296" s="130"/>
      <c r="CP296" s="116">
        <v>181</v>
      </c>
      <c r="CQ296" s="267">
        <v>5522</v>
      </c>
      <c r="CR296" s="124"/>
      <c r="CS296" s="268">
        <v>3.8881388621022182</v>
      </c>
      <c r="CT296" s="269">
        <v>70.829663365485828</v>
      </c>
      <c r="CU296" s="160">
        <v>-9801.1590003621877</v>
      </c>
      <c r="CV296" s="130"/>
      <c r="CW296" s="130"/>
      <c r="CX296" s="130"/>
      <c r="CY296" s="269">
        <v>24.532909180518839</v>
      </c>
      <c r="CZ296" s="125">
        <v>1004.889532777979</v>
      </c>
      <c r="DA296" s="125">
        <v>21.243811621564927</v>
      </c>
      <c r="DB296" s="273">
        <v>17265.4835204636</v>
      </c>
      <c r="DC296" s="124"/>
      <c r="DD296" s="117">
        <v>50230</v>
      </c>
      <c r="DE296" s="117">
        <v>85318</v>
      </c>
      <c r="DF296" s="117">
        <v>7</v>
      </c>
      <c r="DG296" s="117">
        <v>-35081</v>
      </c>
      <c r="DH296" s="117">
        <v>20779</v>
      </c>
      <c r="DI296" s="117">
        <v>22089</v>
      </c>
      <c r="DJ296" s="136"/>
      <c r="DL296" s="160">
        <v>-349</v>
      </c>
      <c r="DM296" s="160">
        <v>218</v>
      </c>
      <c r="DN296" s="161">
        <v>7656</v>
      </c>
      <c r="DO296" s="116">
        <v>6513</v>
      </c>
      <c r="DP296" s="160">
        <v>0</v>
      </c>
      <c r="DR296" s="161">
        <v>1143</v>
      </c>
      <c r="DS296" s="117">
        <v>-4</v>
      </c>
      <c r="DT296" s="116">
        <v>0</v>
      </c>
      <c r="DU296" s="116">
        <v>24</v>
      </c>
      <c r="DV296" s="116">
        <v>-12</v>
      </c>
      <c r="DW296" s="160">
        <v>1103</v>
      </c>
      <c r="DX296" s="160">
        <v>-2834</v>
      </c>
      <c r="DY296" s="116">
        <v>7369</v>
      </c>
      <c r="DZ296" s="150"/>
      <c r="EA296" s="116">
        <v>11702</v>
      </c>
      <c r="EB296" s="116">
        <v>-1666</v>
      </c>
      <c r="EC296" s="159">
        <v>1668</v>
      </c>
      <c r="EE296" s="125"/>
      <c r="EF296" s="161"/>
      <c r="EG296" s="124"/>
      <c r="EH296" s="253">
        <v>22</v>
      </c>
      <c r="EI296" s="130"/>
      <c r="EJ296" s="125">
        <v>39</v>
      </c>
      <c r="EK296" s="116"/>
      <c r="EL296" s="159"/>
      <c r="EN296" s="116"/>
      <c r="EO296" s="116"/>
      <c r="EP296" s="159"/>
      <c r="EQ296" s="159">
        <v>-10851</v>
      </c>
      <c r="ER296" s="116">
        <v>553</v>
      </c>
      <c r="ES296" s="116">
        <v>181</v>
      </c>
      <c r="ET296" s="160">
        <v>-8872</v>
      </c>
      <c r="EU296" s="116">
        <v>116</v>
      </c>
      <c r="EV296" s="116">
        <v>837</v>
      </c>
      <c r="EW296" s="160">
        <v>-5770</v>
      </c>
      <c r="EX296" s="160">
        <v>180</v>
      </c>
      <c r="EY296" s="160">
        <v>-111</v>
      </c>
      <c r="EZ296" s="116">
        <v>12491</v>
      </c>
      <c r="FA296" s="116">
        <v>4114</v>
      </c>
      <c r="FB296" s="116">
        <v>2334</v>
      </c>
      <c r="FC296" s="160">
        <v>6584</v>
      </c>
      <c r="FD296" s="116">
        <v>5541</v>
      </c>
      <c r="FE296" s="116">
        <v>-11565</v>
      </c>
      <c r="FF296" s="3">
        <v>52049</v>
      </c>
      <c r="FG296" s="3">
        <v>29963</v>
      </c>
      <c r="FH296" s="3">
        <v>22086</v>
      </c>
      <c r="FI296" s="3">
        <v>94</v>
      </c>
      <c r="FJ296" s="125">
        <v>58804</v>
      </c>
      <c r="FK296" s="160">
        <v>29760</v>
      </c>
      <c r="FL296" s="125">
        <v>29044</v>
      </c>
      <c r="FM296" s="116">
        <v>66</v>
      </c>
      <c r="FN296" s="125">
        <v>52771</v>
      </c>
      <c r="FO296" s="116">
        <v>30553</v>
      </c>
      <c r="FP296" s="116">
        <v>22218</v>
      </c>
      <c r="FQ296" s="116">
        <v>11702</v>
      </c>
      <c r="FR296" s="153">
        <v>4405</v>
      </c>
      <c r="FS296" s="153">
        <v>4151</v>
      </c>
      <c r="FT296" s="276">
        <v>3899</v>
      </c>
      <c r="FU296" s="3">
        <v>8607</v>
      </c>
      <c r="FV296" s="159">
        <v>13826</v>
      </c>
      <c r="FW296" s="170"/>
      <c r="FZ296" s="155"/>
      <c r="GA296" s="2"/>
      <c r="GD296" s="163"/>
      <c r="GE296" s="2"/>
      <c r="GF296" s="2"/>
    </row>
    <row r="297" spans="1:188" ht="14.5" x14ac:dyDescent="0.35">
      <c r="A297" s="72">
        <v>992</v>
      </c>
      <c r="B297" s="70" t="s">
        <v>285</v>
      </c>
      <c r="C297" s="158">
        <v>18851</v>
      </c>
      <c r="D297" s="171"/>
      <c r="E297" s="128">
        <v>1.0181782895588045</v>
      </c>
      <c r="F297" s="128">
        <v>96.152916035356654</v>
      </c>
      <c r="G297" s="129">
        <v>-7598.9072197761388</v>
      </c>
      <c r="H297" s="216"/>
      <c r="I297" s="172"/>
      <c r="J297" s="218"/>
      <c r="K297" s="128">
        <v>34.553851447021927</v>
      </c>
      <c r="L297" s="129">
        <v>784.89204816720599</v>
      </c>
      <c r="M297" s="129">
        <v>22.693632971392073</v>
      </c>
      <c r="N297" s="129">
        <v>12624.051774441676</v>
      </c>
      <c r="O297" s="129"/>
      <c r="P297" s="117">
        <v>78399</v>
      </c>
      <c r="Q297" s="161">
        <v>187667</v>
      </c>
      <c r="R297" s="161">
        <v>-27</v>
      </c>
      <c r="S297" s="161">
        <v>-109295</v>
      </c>
      <c r="T297" s="124">
        <v>75054</v>
      </c>
      <c r="U297" s="124">
        <v>49168</v>
      </c>
      <c r="V297" s="136"/>
      <c r="X297" s="116">
        <v>-299</v>
      </c>
      <c r="Y297" s="116">
        <v>37</v>
      </c>
      <c r="Z297" s="161">
        <v>14665</v>
      </c>
      <c r="AA297" s="116">
        <v>16442</v>
      </c>
      <c r="AB297" s="116">
        <v>0</v>
      </c>
      <c r="AD297" s="161">
        <v>-1777</v>
      </c>
      <c r="AE297" s="116">
        <v>6</v>
      </c>
      <c r="AF297" s="116">
        <v>-103</v>
      </c>
      <c r="AG297" s="116">
        <v>0</v>
      </c>
      <c r="AH297" s="116">
        <v>307</v>
      </c>
      <c r="AI297" s="160">
        <v>-1567</v>
      </c>
      <c r="AJ297" s="161">
        <v>21782</v>
      </c>
      <c r="AK297" s="161">
        <v>14910</v>
      </c>
      <c r="AL297" s="150"/>
      <c r="AM297" s="161">
        <v>2612</v>
      </c>
      <c r="AN297" s="161">
        <v>-14384</v>
      </c>
      <c r="AO297" s="160">
        <v>-18443</v>
      </c>
      <c r="AQ297" s="160"/>
      <c r="AR297" s="117"/>
      <c r="AS297" s="117"/>
      <c r="AT297" s="99">
        <v>21.5</v>
      </c>
      <c r="AU297" s="130"/>
      <c r="AV297" s="262">
        <v>53</v>
      </c>
      <c r="AW297" s="267">
        <v>18765</v>
      </c>
      <c r="AX297" s="124"/>
      <c r="AY297" s="258">
        <v>1.1575378195096504</v>
      </c>
      <c r="AZ297" s="259">
        <v>108.45647957626535</v>
      </c>
      <c r="BA297" s="160">
        <v>-8997.8683719690907</v>
      </c>
      <c r="BB297" s="130"/>
      <c r="BC297" s="130"/>
      <c r="BD297" s="130"/>
      <c r="BE297" s="128">
        <v>31.84437202613179</v>
      </c>
      <c r="BF297" s="129"/>
      <c r="BG297" s="129">
        <v>21.048990925769822</v>
      </c>
      <c r="BH297" s="131">
        <v>12896.56274980016</v>
      </c>
      <c r="BI297" s="124"/>
      <c r="BJ297" s="117">
        <v>80323</v>
      </c>
      <c r="BK297" s="117">
        <v>190627</v>
      </c>
      <c r="BL297" s="161">
        <v>-62</v>
      </c>
      <c r="BM297" s="161">
        <v>-110366</v>
      </c>
      <c r="BN297" s="117">
        <v>73572</v>
      </c>
      <c r="BO297" s="117">
        <v>49251</v>
      </c>
      <c r="BP297" s="136"/>
      <c r="BR297" s="160">
        <v>-613</v>
      </c>
      <c r="BS297" s="160">
        <v>60</v>
      </c>
      <c r="BT297" s="161">
        <v>11904</v>
      </c>
      <c r="BU297" s="125">
        <v>13765</v>
      </c>
      <c r="BV297" s="160">
        <v>0</v>
      </c>
      <c r="BX297" s="161">
        <v>-1861</v>
      </c>
      <c r="BY297" s="160">
        <v>-1</v>
      </c>
      <c r="BZ297" s="160">
        <v>1</v>
      </c>
      <c r="CA297" s="160">
        <v>0</v>
      </c>
      <c r="CB297" s="160">
        <v>-100</v>
      </c>
      <c r="CC297" s="160">
        <v>-1961</v>
      </c>
      <c r="CD297" s="160">
        <v>20730</v>
      </c>
      <c r="CE297" s="116">
        <v>11104</v>
      </c>
      <c r="CF297" s="150"/>
      <c r="CG297" s="161">
        <v>5326</v>
      </c>
      <c r="CH297" s="160">
        <v>-10092</v>
      </c>
      <c r="CI297" s="159">
        <v>-25132</v>
      </c>
      <c r="CK297" s="124"/>
      <c r="CL297" s="161"/>
      <c r="CM297" s="124"/>
      <c r="CN297" s="265">
        <v>21.5</v>
      </c>
      <c r="CO297" s="130"/>
      <c r="CP297" s="116">
        <v>80</v>
      </c>
      <c r="CQ297" s="267">
        <v>18577</v>
      </c>
      <c r="CR297" s="124"/>
      <c r="CS297" s="272">
        <v>0.92905555830406172</v>
      </c>
      <c r="CT297" s="269">
        <v>108.68635225375625</v>
      </c>
      <c r="CU297" s="160">
        <v>-9796.5764116918763</v>
      </c>
      <c r="CV297" s="130"/>
      <c r="CW297" s="130"/>
      <c r="CX297" s="130"/>
      <c r="CY297" s="269">
        <v>31.507776723340221</v>
      </c>
      <c r="CZ297" s="125">
        <v>953.54470581902353</v>
      </c>
      <c r="DA297" s="125">
        <v>26.53908039371824</v>
      </c>
      <c r="DB297" s="273">
        <v>13114.388760294987</v>
      </c>
      <c r="DC297" s="124"/>
      <c r="DD297" s="117">
        <v>77032</v>
      </c>
      <c r="DE297" s="117">
        <v>192785</v>
      </c>
      <c r="DF297" s="117">
        <v>-146</v>
      </c>
      <c r="DG297" s="117">
        <v>-115899</v>
      </c>
      <c r="DH297" s="117">
        <v>74847</v>
      </c>
      <c r="DI297" s="117">
        <v>58969</v>
      </c>
      <c r="DJ297" s="136"/>
      <c r="DL297" s="160">
        <v>-1024</v>
      </c>
      <c r="DM297" s="160">
        <v>135</v>
      </c>
      <c r="DN297" s="161">
        <v>17028</v>
      </c>
      <c r="DO297" s="116">
        <v>15496</v>
      </c>
      <c r="DP297" s="160">
        <v>0</v>
      </c>
      <c r="DR297" s="161">
        <v>1532</v>
      </c>
      <c r="DS297" s="116">
        <v>8</v>
      </c>
      <c r="DT297" s="116">
        <v>-8</v>
      </c>
      <c r="DU297" s="116">
        <v>0</v>
      </c>
      <c r="DV297" s="116">
        <v>-47</v>
      </c>
      <c r="DW297" s="160">
        <v>1485</v>
      </c>
      <c r="DX297" s="160">
        <v>23393</v>
      </c>
      <c r="DY297" s="116">
        <v>16226</v>
      </c>
      <c r="DZ297" s="150"/>
      <c r="EA297" s="117">
        <v>9429</v>
      </c>
      <c r="EB297" s="116">
        <v>-18462</v>
      </c>
      <c r="EC297" s="159">
        <v>-12754</v>
      </c>
      <c r="EE297" s="125"/>
      <c r="EF297" s="161"/>
      <c r="EG297" s="124"/>
      <c r="EH297" s="253">
        <v>21.5</v>
      </c>
      <c r="EI297" s="130"/>
      <c r="EJ297" s="125">
        <v>181</v>
      </c>
      <c r="EK297" s="116"/>
      <c r="EL297" s="159"/>
      <c r="EN297" s="116"/>
      <c r="EO297" s="116"/>
      <c r="EP297" s="159"/>
      <c r="EQ297" s="159">
        <v>-34526</v>
      </c>
      <c r="ER297" s="116">
        <v>230</v>
      </c>
      <c r="ES297" s="116">
        <v>943</v>
      </c>
      <c r="ET297" s="160">
        <v>-39798</v>
      </c>
      <c r="EU297" s="116">
        <v>639</v>
      </c>
      <c r="EV297" s="116">
        <v>2923</v>
      </c>
      <c r="EW297" s="160">
        <v>-30607</v>
      </c>
      <c r="EX297" s="160">
        <v>164</v>
      </c>
      <c r="EY297" s="160">
        <v>1463</v>
      </c>
      <c r="EZ297" s="116">
        <v>14167</v>
      </c>
      <c r="FA297" s="116">
        <v>9719</v>
      </c>
      <c r="FB297" s="116">
        <v>31600</v>
      </c>
      <c r="FC297" s="160">
        <v>7704</v>
      </c>
      <c r="FD297" s="116">
        <v>41436</v>
      </c>
      <c r="FE297" s="116">
        <v>-13911</v>
      </c>
      <c r="FF297" s="3">
        <v>150409</v>
      </c>
      <c r="FG297" s="3">
        <v>101531</v>
      </c>
      <c r="FH297" s="3">
        <v>48878</v>
      </c>
      <c r="FI297" s="3">
        <v>12</v>
      </c>
      <c r="FJ297" s="125">
        <v>180067</v>
      </c>
      <c r="FK297" s="160">
        <v>115699</v>
      </c>
      <c r="FL297" s="125">
        <v>64368</v>
      </c>
      <c r="FM297" s="116">
        <v>12</v>
      </c>
      <c r="FN297" s="125">
        <v>189402</v>
      </c>
      <c r="FO297" s="116">
        <v>137570</v>
      </c>
      <c r="FP297" s="116">
        <v>51832</v>
      </c>
      <c r="FQ297" s="116">
        <v>9429</v>
      </c>
      <c r="FR297" s="153">
        <v>7634</v>
      </c>
      <c r="FS297" s="153">
        <v>6765</v>
      </c>
      <c r="FT297" s="276">
        <v>6087</v>
      </c>
      <c r="FU297" s="3">
        <v>62259</v>
      </c>
      <c r="FV297" s="159">
        <v>65892</v>
      </c>
      <c r="FW297" s="170"/>
      <c r="FZ297" s="155"/>
      <c r="GA297" s="2"/>
      <c r="GD297" s="163"/>
      <c r="GE297" s="2"/>
      <c r="GF297" s="2"/>
    </row>
    <row r="298" spans="1:188" x14ac:dyDescent="0.35">
      <c r="H298" s="171"/>
      <c r="I298" s="172"/>
      <c r="J298" s="130"/>
      <c r="DU298" s="125"/>
      <c r="DV298" s="125"/>
      <c r="EK298" s="116"/>
      <c r="EM298" s="120"/>
      <c r="ES298" s="123"/>
      <c r="EV298" s="116"/>
      <c r="EY298" s="120"/>
      <c r="FA298" s="139"/>
      <c r="FE298" s="116"/>
      <c r="FQ298" s="120"/>
      <c r="FR298" s="3"/>
      <c r="FS298" s="3"/>
      <c r="FT298"/>
    </row>
    <row r="299" spans="1:188" x14ac:dyDescent="0.35">
      <c r="H299" s="171"/>
      <c r="I299" s="172"/>
      <c r="J299" s="130"/>
      <c r="EK299" s="116"/>
    </row>
    <row r="300" spans="1:188" x14ac:dyDescent="0.35">
      <c r="H300" s="171"/>
      <c r="I300" s="172"/>
      <c r="J300" s="130"/>
      <c r="EK300" s="116"/>
    </row>
    <row r="301" spans="1:188" x14ac:dyDescent="0.35">
      <c r="H301" s="171"/>
      <c r="I301" s="172"/>
      <c r="J301" s="130"/>
      <c r="EK301" s="116"/>
    </row>
    <row r="302" spans="1:188" x14ac:dyDescent="0.35">
      <c r="H302" s="171"/>
      <c r="I302" s="172"/>
      <c r="J302" s="130"/>
      <c r="EK302" s="116"/>
    </row>
    <row r="303" spans="1:188" x14ac:dyDescent="0.35">
      <c r="H303" s="130"/>
      <c r="EK303" s="116"/>
    </row>
    <row r="304" spans="1:188" x14ac:dyDescent="0.35">
      <c r="EK304" s="116"/>
    </row>
    <row r="305" spans="141:141" x14ac:dyDescent="0.35">
      <c r="EK305" s="116"/>
    </row>
    <row r="306" spans="141:141" x14ac:dyDescent="0.35">
      <c r="EK306" s="116"/>
    </row>
    <row r="307" spans="141:141" x14ac:dyDescent="0.35">
      <c r="EK307" s="116"/>
    </row>
    <row r="308" spans="141:141" x14ac:dyDescent="0.35">
      <c r="EK308" s="116"/>
    </row>
    <row r="309" spans="141:141" x14ac:dyDescent="0.35">
      <c r="EK309" s="116"/>
    </row>
    <row r="310" spans="141:141" x14ac:dyDescent="0.35">
      <c r="EK310" s="116"/>
    </row>
    <row r="311" spans="141:141" x14ac:dyDescent="0.35">
      <c r="EK311" s="116"/>
    </row>
    <row r="312" spans="141:141" x14ac:dyDescent="0.35">
      <c r="EK312" s="116"/>
    </row>
    <row r="313" spans="141:141" x14ac:dyDescent="0.35">
      <c r="EK313" s="116"/>
    </row>
    <row r="314" spans="141:141" x14ac:dyDescent="0.35">
      <c r="EK314" s="116"/>
    </row>
    <row r="315" spans="141:141" x14ac:dyDescent="0.35">
      <c r="EK315" s="116"/>
    </row>
    <row r="316" spans="141:141" x14ac:dyDescent="0.35">
      <c r="EK316" s="116"/>
    </row>
    <row r="317" spans="141:141" x14ac:dyDescent="0.35">
      <c r="EK317" s="116"/>
    </row>
    <row r="318" spans="141:141" x14ac:dyDescent="0.35">
      <c r="EK318" s="116"/>
    </row>
  </sheetData>
  <sortState ref="A3:GE298">
    <sortCondition ref="B3:B298"/>
  </sortState>
  <phoneticPr fontId="12" type="noConversion"/>
  <pageMargins left="0.75" right="0.75" top="1" bottom="1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Kuntakortti</vt:lpstr>
      <vt:lpstr>Luvut</vt:lpstr>
      <vt:lpstr>Kuntakortti!Tulostusalue</vt:lpstr>
    </vt:vector>
  </TitlesOfParts>
  <Company>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</dc:creator>
  <cp:lastModifiedBy>Lappalainen Vesa (VM)</cp:lastModifiedBy>
  <cp:lastPrinted>2020-05-27T11:53:55Z</cp:lastPrinted>
  <dcterms:created xsi:type="dcterms:W3CDTF">1998-06-16T10:21:51Z</dcterms:created>
  <dcterms:modified xsi:type="dcterms:W3CDTF">2021-06-01T10:41:36Z</dcterms:modified>
</cp:coreProperties>
</file>