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tien Tilinpäätös-kortit ja kuntatiedostot\Kuntakortti 2020-\"/>
    </mc:Choice>
  </mc:AlternateContent>
  <bookViews>
    <workbookView xWindow="0" yWindow="0" windowWidth="19200" windowHeight="6900"/>
  </bookViews>
  <sheets>
    <sheet name="Kuntakortti" sheetId="2" r:id="rId1"/>
    <sheet name="Luvut" sheetId="1" r:id="rId2"/>
  </sheets>
  <definedNames>
    <definedName name="_xlnm._FilterDatabase" localSheetId="1" hidden="1">Luvut!#REF!</definedName>
    <definedName name="_xlnm.Print_Area" localSheetId="0">Kuntakortti!$A$1:$L$76</definedName>
  </definedNames>
  <calcPr calcId="162913"/>
</workbook>
</file>

<file path=xl/calcChain.xml><?xml version="1.0" encoding="utf-8"?>
<calcChain xmlns="http://schemas.openxmlformats.org/spreadsheetml/2006/main">
  <c r="FO98" i="1" l="1"/>
  <c r="FP98" i="1" s="1"/>
  <c r="FW98" i="1"/>
  <c r="FO3" i="1" l="1"/>
  <c r="FP3" i="1" s="1"/>
  <c r="A4" i="2" l="1"/>
  <c r="FO90" i="1"/>
  <c r="FP90" i="1" s="1"/>
  <c r="FW4" i="1"/>
  <c r="FW5" i="1"/>
  <c r="FW8" i="1"/>
  <c r="FW16" i="1"/>
  <c r="FW17" i="1"/>
  <c r="FW20" i="1"/>
  <c r="FW24" i="1"/>
  <c r="FW25" i="1"/>
  <c r="FW27" i="1"/>
  <c r="FW28" i="1"/>
  <c r="FW35" i="1"/>
  <c r="FW36" i="1"/>
  <c r="FW38" i="1"/>
  <c r="FW46" i="1"/>
  <c r="FW47" i="1"/>
  <c r="FW50" i="1"/>
  <c r="FW53" i="1"/>
  <c r="FW54" i="1"/>
  <c r="FW56" i="1"/>
  <c r="FW57" i="1"/>
  <c r="FW64" i="1"/>
  <c r="FW65" i="1"/>
  <c r="FW68" i="1"/>
  <c r="FW75" i="1"/>
  <c r="FW76" i="1"/>
  <c r="FW79" i="1"/>
  <c r="FW83" i="1"/>
  <c r="FW84" i="1"/>
  <c r="FW87" i="1"/>
  <c r="FW91" i="1"/>
  <c r="FW92" i="1"/>
  <c r="FW95" i="1"/>
  <c r="FW103" i="1"/>
  <c r="FW104" i="1"/>
  <c r="FW107" i="1"/>
  <c r="FW111" i="1"/>
  <c r="FW112" i="1"/>
  <c r="FW115" i="1"/>
  <c r="FW116" i="1"/>
  <c r="FW122" i="1"/>
  <c r="FW123" i="1"/>
  <c r="FW126" i="1"/>
  <c r="FW133" i="1"/>
  <c r="FW134" i="1"/>
  <c r="FW137" i="1"/>
  <c r="FW141" i="1"/>
  <c r="FW142" i="1"/>
  <c r="FW144" i="1"/>
  <c r="FW151" i="1"/>
  <c r="FW152" i="1"/>
  <c r="FW155" i="1"/>
  <c r="FW162" i="1"/>
  <c r="FW168" i="1"/>
  <c r="FW169" i="1"/>
  <c r="FW172" i="1"/>
  <c r="FW179" i="1"/>
  <c r="FW180" i="1"/>
  <c r="FW183" i="1"/>
  <c r="FW191" i="1"/>
  <c r="FW192" i="1"/>
  <c r="FW195" i="1"/>
  <c r="FW199" i="1"/>
  <c r="FW202" i="1"/>
  <c r="FW203" i="1"/>
  <c r="FW210" i="1"/>
  <c r="FW211" i="1"/>
  <c r="FW214" i="1"/>
  <c r="FW221" i="1"/>
  <c r="FW222" i="1"/>
  <c r="FW225" i="1"/>
  <c r="FW229" i="1"/>
  <c r="FW230" i="1"/>
  <c r="FW233" i="1"/>
  <c r="FW234" i="1"/>
  <c r="FW241" i="1"/>
  <c r="FW242" i="1"/>
  <c r="FW245" i="1"/>
  <c r="FW252" i="1"/>
  <c r="FW253" i="1"/>
  <c r="FW256" i="1"/>
  <c r="FW259" i="1"/>
  <c r="FW260" i="1"/>
  <c r="FW263" i="1"/>
  <c r="FW264" i="1"/>
  <c r="FW270" i="1"/>
  <c r="FW271" i="1"/>
  <c r="FW274" i="1"/>
  <c r="FW281" i="1"/>
  <c r="FW282" i="1"/>
  <c r="FW285" i="1"/>
  <c r="FW288" i="1"/>
  <c r="FW289" i="1"/>
  <c r="FW291" i="1"/>
  <c r="FW3" i="1"/>
  <c r="FW12" i="1"/>
  <c r="FW13" i="1"/>
  <c r="FW21" i="1"/>
  <c r="FW31" i="1"/>
  <c r="FW42" i="1"/>
  <c r="FW43" i="1"/>
  <c r="FW60" i="1"/>
  <c r="FW72" i="1"/>
  <c r="FW80" i="1"/>
  <c r="FW89" i="1"/>
  <c r="FW99" i="1"/>
  <c r="FW100" i="1"/>
  <c r="FW108" i="1"/>
  <c r="FW118" i="1"/>
  <c r="FW129" i="1"/>
  <c r="FW130" i="1"/>
  <c r="FW138" i="1"/>
  <c r="FW147" i="1"/>
  <c r="FW159" i="1"/>
  <c r="FW160" i="1"/>
  <c r="FW165" i="1"/>
  <c r="FW175" i="1"/>
  <c r="FW187" i="1"/>
  <c r="FW188" i="1"/>
  <c r="FW196" i="1"/>
  <c r="FW206" i="1"/>
  <c r="FW218" i="1"/>
  <c r="FW219" i="1"/>
  <c r="FW226" i="1"/>
  <c r="FW237" i="1"/>
  <c r="FW249" i="1"/>
  <c r="FW257" i="1"/>
  <c r="FW267" i="1"/>
  <c r="FW278" i="1"/>
  <c r="FW294" i="1"/>
  <c r="FW6" i="1"/>
  <c r="FW10" i="1"/>
  <c r="FW14" i="1"/>
  <c r="FW18" i="1"/>
  <c r="FW22" i="1"/>
  <c r="FW26" i="1"/>
  <c r="FW29" i="1"/>
  <c r="FW33" i="1"/>
  <c r="FW37" i="1"/>
  <c r="FW40" i="1"/>
  <c r="FW44" i="1"/>
  <c r="FW48" i="1"/>
  <c r="FW51" i="1"/>
  <c r="FW55" i="1"/>
  <c r="FW58" i="1"/>
  <c r="FW62" i="1"/>
  <c r="FW66" i="1"/>
  <c r="FW70" i="1"/>
  <c r="FW73" i="1"/>
  <c r="FW77" i="1"/>
  <c r="FW81" i="1"/>
  <c r="FW85" i="1"/>
  <c r="FW93" i="1"/>
  <c r="FW97" i="1"/>
  <c r="FW101" i="1"/>
  <c r="FW105" i="1"/>
  <c r="FW109" i="1"/>
  <c r="FW113" i="1"/>
  <c r="FW117" i="1"/>
  <c r="FW120" i="1"/>
  <c r="FW124" i="1"/>
  <c r="FW127" i="1"/>
  <c r="FW131" i="1"/>
  <c r="FW135" i="1"/>
  <c r="FW139" i="1"/>
  <c r="FW145" i="1"/>
  <c r="FW149" i="1"/>
  <c r="FW153" i="1"/>
  <c r="FW157" i="1"/>
  <c r="FW161" i="1"/>
  <c r="FW163" i="1"/>
  <c r="FW166" i="1"/>
  <c r="FW170" i="1"/>
  <c r="FW173" i="1"/>
  <c r="FW177" i="1"/>
  <c r="FW181" i="1"/>
  <c r="FW185" i="1"/>
  <c r="FW189" i="1"/>
  <c r="FW193" i="1"/>
  <c r="FW197" i="1"/>
  <c r="FW200" i="1"/>
  <c r="FW204" i="1"/>
  <c r="FW208" i="1"/>
  <c r="FW212" i="1"/>
  <c r="FW216" i="1"/>
  <c r="FW223" i="1"/>
  <c r="FW227" i="1"/>
  <c r="FW231" i="1"/>
  <c r="FW235" i="1"/>
  <c r="FW239" i="1"/>
  <c r="FW243" i="1"/>
  <c r="FW247" i="1"/>
  <c r="FW250" i="1"/>
  <c r="FW254" i="1"/>
  <c r="FW261" i="1"/>
  <c r="FW265" i="1"/>
  <c r="FW272" i="1"/>
  <c r="FW276" i="1"/>
  <c r="FW279" i="1"/>
  <c r="FW283" i="1"/>
  <c r="FW286" i="1"/>
  <c r="FW290" i="1"/>
  <c r="FW292" i="1"/>
  <c r="FW296" i="1"/>
  <c r="FO4" i="1"/>
  <c r="FP4" i="1" s="1"/>
  <c r="FW7" i="1"/>
  <c r="FW9" i="1"/>
  <c r="FW11" i="1"/>
  <c r="FW15" i="1"/>
  <c r="FW19" i="1"/>
  <c r="FW23" i="1"/>
  <c r="FW30" i="1"/>
  <c r="FW32" i="1"/>
  <c r="FW34" i="1"/>
  <c r="FW39" i="1"/>
  <c r="FW41" i="1"/>
  <c r="FW45" i="1"/>
  <c r="FW49" i="1"/>
  <c r="FW52" i="1"/>
  <c r="FW59" i="1"/>
  <c r="FW61" i="1"/>
  <c r="FW63" i="1"/>
  <c r="FW67" i="1"/>
  <c r="FW69" i="1"/>
  <c r="FW71" i="1"/>
  <c r="FW74" i="1"/>
  <c r="FW78" i="1"/>
  <c r="FW82" i="1"/>
  <c r="FW86" i="1"/>
  <c r="FW88" i="1"/>
  <c r="FW90" i="1"/>
  <c r="FW94" i="1"/>
  <c r="FW96" i="1"/>
  <c r="FW102" i="1"/>
  <c r="FW106" i="1"/>
  <c r="FW110" i="1"/>
  <c r="FW114" i="1"/>
  <c r="FW119" i="1"/>
  <c r="FW121" i="1"/>
  <c r="FW125" i="1"/>
  <c r="FW128" i="1"/>
  <c r="FW132" i="1"/>
  <c r="FW136" i="1"/>
  <c r="FW140" i="1"/>
  <c r="FW143" i="1"/>
  <c r="FW146" i="1"/>
  <c r="FW148" i="1"/>
  <c r="FW150" i="1"/>
  <c r="FW154" i="1"/>
  <c r="FW156" i="1"/>
  <c r="FW158" i="1"/>
  <c r="FW164" i="1"/>
  <c r="FW167" i="1"/>
  <c r="FW171" i="1"/>
  <c r="FW174" i="1"/>
  <c r="FW176" i="1"/>
  <c r="FW178" i="1"/>
  <c r="FW182" i="1"/>
  <c r="FW184" i="1"/>
  <c r="FW186" i="1"/>
  <c r="FW190" i="1"/>
  <c r="FW194" i="1"/>
  <c r="FW198" i="1"/>
  <c r="FW201" i="1"/>
  <c r="FW205" i="1"/>
  <c r="FW207" i="1"/>
  <c r="FW209" i="1"/>
  <c r="FW213" i="1"/>
  <c r="FW215" i="1"/>
  <c r="FW217" i="1"/>
  <c r="FW220" i="1"/>
  <c r="FW224" i="1"/>
  <c r="FW228" i="1"/>
  <c r="FW232" i="1"/>
  <c r="FW236" i="1"/>
  <c r="FW238" i="1"/>
  <c r="FW240" i="1"/>
  <c r="FW244" i="1"/>
  <c r="FW246" i="1"/>
  <c r="FW248" i="1"/>
  <c r="FW251" i="1"/>
  <c r="FW255" i="1"/>
  <c r="FW258" i="1"/>
  <c r="FW262" i="1"/>
  <c r="FW266" i="1"/>
  <c r="FW268" i="1"/>
  <c r="FW269" i="1"/>
  <c r="FW273" i="1"/>
  <c r="FW275" i="1"/>
  <c r="FW277" i="1"/>
  <c r="FW280" i="1"/>
  <c r="FW284" i="1"/>
  <c r="FW287" i="1"/>
  <c r="FW293" i="1"/>
  <c r="FW295" i="1"/>
  <c r="FW297" i="1"/>
  <c r="FO5" i="1"/>
  <c r="FP5" i="1" s="1"/>
  <c r="FO6" i="1"/>
  <c r="FP6" i="1" s="1"/>
  <c r="FO7" i="1"/>
  <c r="FP7" i="1" s="1"/>
  <c r="FO8" i="1"/>
  <c r="FP8" i="1" s="1"/>
  <c r="FO9" i="1"/>
  <c r="FP9" i="1" s="1"/>
  <c r="FO10" i="1"/>
  <c r="FP10" i="1" s="1"/>
  <c r="FO11" i="1"/>
  <c r="FP11" i="1" s="1"/>
  <c r="FO12" i="1"/>
  <c r="FP12" i="1" s="1"/>
  <c r="FO13" i="1"/>
  <c r="FP13" i="1" s="1"/>
  <c r="FO14" i="1"/>
  <c r="FP14" i="1" s="1"/>
  <c r="FO15" i="1"/>
  <c r="FP15" i="1" s="1"/>
  <c r="FO16" i="1"/>
  <c r="FP16" i="1" s="1"/>
  <c r="FO17" i="1"/>
  <c r="FP17" i="1" s="1"/>
  <c r="FO18" i="1"/>
  <c r="FP18" i="1" s="1"/>
  <c r="FO19" i="1"/>
  <c r="FP19" i="1" s="1"/>
  <c r="FO20" i="1"/>
  <c r="FP20" i="1" s="1"/>
  <c r="FO21" i="1"/>
  <c r="FP21" i="1" s="1"/>
  <c r="FO22" i="1"/>
  <c r="FP22" i="1" s="1"/>
  <c r="FO23" i="1"/>
  <c r="FP23" i="1" s="1"/>
  <c r="FO24" i="1"/>
  <c r="FP24" i="1" s="1"/>
  <c r="FO25" i="1"/>
  <c r="FP25" i="1" s="1"/>
  <c r="FO26" i="1"/>
  <c r="FP26" i="1" s="1"/>
  <c r="FO27" i="1"/>
  <c r="FP27" i="1" s="1"/>
  <c r="FO28" i="1"/>
  <c r="FP28" i="1" s="1"/>
  <c r="FO29" i="1"/>
  <c r="FP29" i="1" s="1"/>
  <c r="FO30" i="1"/>
  <c r="FP30" i="1" s="1"/>
  <c r="FO31" i="1"/>
  <c r="FP31" i="1" s="1"/>
  <c r="FO32" i="1"/>
  <c r="FP32" i="1" s="1"/>
  <c r="FO33" i="1"/>
  <c r="FP33" i="1" s="1"/>
  <c r="FO34" i="1"/>
  <c r="FP34" i="1" s="1"/>
  <c r="FO35" i="1"/>
  <c r="FP35" i="1" s="1"/>
  <c r="FO36" i="1"/>
  <c r="FP36" i="1" s="1"/>
  <c r="FO37" i="1"/>
  <c r="FP37" i="1" s="1"/>
  <c r="FO38" i="1"/>
  <c r="FP38" i="1" s="1"/>
  <c r="FO39" i="1"/>
  <c r="FP39" i="1" s="1"/>
  <c r="FO40" i="1"/>
  <c r="FP40" i="1" s="1"/>
  <c r="FO41" i="1"/>
  <c r="FP41" i="1" s="1"/>
  <c r="FO42" i="1"/>
  <c r="FP42" i="1" s="1"/>
  <c r="FO43" i="1"/>
  <c r="FP43" i="1" s="1"/>
  <c r="FO44" i="1"/>
  <c r="FP44" i="1" s="1"/>
  <c r="FO45" i="1"/>
  <c r="FP45" i="1" s="1"/>
  <c r="FO46" i="1"/>
  <c r="FP46" i="1" s="1"/>
  <c r="FO47" i="1"/>
  <c r="FP47" i="1" s="1"/>
  <c r="FO48" i="1"/>
  <c r="FP48" i="1" s="1"/>
  <c r="FO49" i="1"/>
  <c r="FP49" i="1" s="1"/>
  <c r="FO50" i="1"/>
  <c r="FP50" i="1" s="1"/>
  <c r="FO51" i="1"/>
  <c r="FP51" i="1" s="1"/>
  <c r="FO52" i="1"/>
  <c r="FP52" i="1" s="1"/>
  <c r="FO53" i="1"/>
  <c r="FP53" i="1" s="1"/>
  <c r="FO54" i="1"/>
  <c r="FP54" i="1" s="1"/>
  <c r="FO55" i="1"/>
  <c r="FP55" i="1" s="1"/>
  <c r="FO56" i="1"/>
  <c r="FP56" i="1" s="1"/>
  <c r="FO57" i="1"/>
  <c r="FP57" i="1" s="1"/>
  <c r="FO58" i="1"/>
  <c r="FP58" i="1" s="1"/>
  <c r="FO59" i="1"/>
  <c r="FP59" i="1" s="1"/>
  <c r="FO60" i="1"/>
  <c r="FP60" i="1" s="1"/>
  <c r="FO61" i="1"/>
  <c r="FP61" i="1" s="1"/>
  <c r="FO62" i="1"/>
  <c r="FP62" i="1" s="1"/>
  <c r="FO63" i="1"/>
  <c r="FP63" i="1" s="1"/>
  <c r="FO64" i="1"/>
  <c r="FP64" i="1" s="1"/>
  <c r="FO65" i="1"/>
  <c r="FP65" i="1" s="1"/>
  <c r="FO66" i="1"/>
  <c r="FP66" i="1" s="1"/>
  <c r="FO67" i="1"/>
  <c r="FP67" i="1" s="1"/>
  <c r="FO68" i="1"/>
  <c r="FP68" i="1" s="1"/>
  <c r="FO69" i="1"/>
  <c r="FP69" i="1" s="1"/>
  <c r="FO70" i="1"/>
  <c r="FP70" i="1" s="1"/>
  <c r="FO71" i="1"/>
  <c r="FP71" i="1" s="1"/>
  <c r="FO72" i="1"/>
  <c r="FP72" i="1" s="1"/>
  <c r="FO73" i="1"/>
  <c r="FP73" i="1" s="1"/>
  <c r="FO74" i="1"/>
  <c r="FP74" i="1" s="1"/>
  <c r="FO75" i="1"/>
  <c r="FP75" i="1" s="1"/>
  <c r="FO76" i="1"/>
  <c r="FP76" i="1" s="1"/>
  <c r="FO77" i="1"/>
  <c r="FP77" i="1" s="1"/>
  <c r="FO78" i="1"/>
  <c r="FP78" i="1" s="1"/>
  <c r="FO79" i="1"/>
  <c r="FP79" i="1" s="1"/>
  <c r="FO80" i="1"/>
  <c r="FP80" i="1" s="1"/>
  <c r="FO81" i="1"/>
  <c r="FP81" i="1" s="1"/>
  <c r="FO82" i="1"/>
  <c r="FP82" i="1" s="1"/>
  <c r="FO83" i="1"/>
  <c r="FP83" i="1" s="1"/>
  <c r="FO84" i="1"/>
  <c r="FP84" i="1" s="1"/>
  <c r="FO85" i="1"/>
  <c r="FP85" i="1" s="1"/>
  <c r="FO86" i="1"/>
  <c r="FP86" i="1" s="1"/>
  <c r="FO87" i="1"/>
  <c r="FP87" i="1" s="1"/>
  <c r="FO88" i="1"/>
  <c r="FP88" i="1" s="1"/>
  <c r="FO89" i="1"/>
  <c r="FP89" i="1" s="1"/>
  <c r="FO91" i="1"/>
  <c r="FP91" i="1" s="1"/>
  <c r="FO92" i="1"/>
  <c r="FP92" i="1" s="1"/>
  <c r="FO93" i="1"/>
  <c r="FP93" i="1" s="1"/>
  <c r="FO94" i="1"/>
  <c r="FP94" i="1" s="1"/>
  <c r="FO95" i="1"/>
  <c r="FP95" i="1" s="1"/>
  <c r="FO96" i="1"/>
  <c r="FP96" i="1" s="1"/>
  <c r="FO97" i="1"/>
  <c r="FP97" i="1" s="1"/>
  <c r="FO99" i="1"/>
  <c r="FP99" i="1" s="1"/>
  <c r="FO100" i="1"/>
  <c r="FP100" i="1" s="1"/>
  <c r="FO101" i="1"/>
  <c r="FP101" i="1" s="1"/>
  <c r="FO102" i="1"/>
  <c r="FP102" i="1" s="1"/>
  <c r="FO103" i="1"/>
  <c r="FP103" i="1" s="1"/>
  <c r="FO104" i="1"/>
  <c r="FP104" i="1" s="1"/>
  <c r="FO105" i="1"/>
  <c r="FP105" i="1" s="1"/>
  <c r="FO106" i="1"/>
  <c r="FP106" i="1" s="1"/>
  <c r="FO107" i="1"/>
  <c r="FP107" i="1" s="1"/>
  <c r="FO108" i="1"/>
  <c r="FP108" i="1" s="1"/>
  <c r="FO109" i="1"/>
  <c r="FP109" i="1" s="1"/>
  <c r="FO110" i="1"/>
  <c r="FP110" i="1" s="1"/>
  <c r="FO111" i="1"/>
  <c r="FP111" i="1" s="1"/>
  <c r="FO112" i="1"/>
  <c r="FP112" i="1" s="1"/>
  <c r="FO113" i="1"/>
  <c r="FP113" i="1" s="1"/>
  <c r="FO114" i="1"/>
  <c r="FP114" i="1" s="1"/>
  <c r="FO115" i="1"/>
  <c r="FP115" i="1" s="1"/>
  <c r="FO116" i="1"/>
  <c r="FP116" i="1" s="1"/>
  <c r="FO117" i="1"/>
  <c r="FP117" i="1" s="1"/>
  <c r="FO118" i="1"/>
  <c r="FP118" i="1" s="1"/>
  <c r="FO119" i="1"/>
  <c r="FP119" i="1" s="1"/>
  <c r="FO120" i="1"/>
  <c r="FP120" i="1" s="1"/>
  <c r="FO121" i="1"/>
  <c r="FP121" i="1" s="1"/>
  <c r="FO122" i="1"/>
  <c r="FP122" i="1" s="1"/>
  <c r="FO123" i="1"/>
  <c r="FP123" i="1" s="1"/>
  <c r="FO124" i="1"/>
  <c r="FP124" i="1" s="1"/>
  <c r="FO125" i="1"/>
  <c r="FP125" i="1" s="1"/>
  <c r="FO126" i="1"/>
  <c r="FP126" i="1" s="1"/>
  <c r="FO127" i="1"/>
  <c r="FP127" i="1" s="1"/>
  <c r="FO128" i="1"/>
  <c r="FP128" i="1" s="1"/>
  <c r="FO129" i="1"/>
  <c r="FP129" i="1" s="1"/>
  <c r="FO130" i="1"/>
  <c r="FP130" i="1" s="1"/>
  <c r="FO131" i="1"/>
  <c r="FP131" i="1" s="1"/>
  <c r="FO132" i="1"/>
  <c r="FP132" i="1" s="1"/>
  <c r="FO133" i="1"/>
  <c r="FP133" i="1" s="1"/>
  <c r="FO134" i="1"/>
  <c r="FP134" i="1" s="1"/>
  <c r="FO135" i="1"/>
  <c r="FP135" i="1" s="1"/>
  <c r="FO136" i="1"/>
  <c r="FP136" i="1" s="1"/>
  <c r="FO137" i="1"/>
  <c r="FP137" i="1" s="1"/>
  <c r="FO138" i="1"/>
  <c r="FP138" i="1" s="1"/>
  <c r="FO139" i="1"/>
  <c r="FP139" i="1" s="1"/>
  <c r="FO140" i="1"/>
  <c r="FP140" i="1" s="1"/>
  <c r="FO141" i="1"/>
  <c r="FP141" i="1" s="1"/>
  <c r="FO142" i="1"/>
  <c r="FP142" i="1" s="1"/>
  <c r="FO177" i="1"/>
  <c r="FP177" i="1" s="1"/>
  <c r="FO143" i="1"/>
  <c r="FP143" i="1" s="1"/>
  <c r="FO144" i="1"/>
  <c r="FP144" i="1" s="1"/>
  <c r="FO145" i="1"/>
  <c r="FP145" i="1" s="1"/>
  <c r="FO146" i="1"/>
  <c r="FP146" i="1" s="1"/>
  <c r="FO147" i="1"/>
  <c r="FP147" i="1" s="1"/>
  <c r="FO148" i="1"/>
  <c r="FP148" i="1" s="1"/>
  <c r="FO149" i="1"/>
  <c r="FP149" i="1" s="1"/>
  <c r="FO150" i="1"/>
  <c r="FP150" i="1" s="1"/>
  <c r="FO151" i="1"/>
  <c r="FP151" i="1" s="1"/>
  <c r="FO152" i="1"/>
  <c r="FP152" i="1" s="1"/>
  <c r="FO153" i="1"/>
  <c r="FP153" i="1" s="1"/>
  <c r="FO154" i="1"/>
  <c r="FP154" i="1" s="1"/>
  <c r="FO155" i="1"/>
  <c r="FP155" i="1" s="1"/>
  <c r="FO156" i="1"/>
  <c r="FP156" i="1" s="1"/>
  <c r="FO157" i="1"/>
  <c r="FP157" i="1" s="1"/>
  <c r="FO158" i="1"/>
  <c r="FP158" i="1" s="1"/>
  <c r="FO159" i="1"/>
  <c r="FP159" i="1" s="1"/>
  <c r="FO160" i="1"/>
  <c r="FP160" i="1" s="1"/>
  <c r="FO161" i="1"/>
  <c r="FP161" i="1" s="1"/>
  <c r="FO162" i="1"/>
  <c r="FP162" i="1" s="1"/>
  <c r="FO163" i="1"/>
  <c r="FP163" i="1" s="1"/>
  <c r="FO164" i="1"/>
  <c r="FP164" i="1" s="1"/>
  <c r="FO165" i="1"/>
  <c r="FP165" i="1" s="1"/>
  <c r="FO166" i="1"/>
  <c r="FP166" i="1" s="1"/>
  <c r="FO167" i="1"/>
  <c r="FP167" i="1" s="1"/>
  <c r="FO168" i="1"/>
  <c r="FP168" i="1" s="1"/>
  <c r="FO169" i="1"/>
  <c r="FP169" i="1" s="1"/>
  <c r="FO170" i="1"/>
  <c r="FP170" i="1" s="1"/>
  <c r="FO171" i="1"/>
  <c r="FP171" i="1" s="1"/>
  <c r="FO172" i="1"/>
  <c r="FP172" i="1" s="1"/>
  <c r="FO173" i="1"/>
  <c r="FP173" i="1" s="1"/>
  <c r="FO174" i="1"/>
  <c r="FP174" i="1" s="1"/>
  <c r="FO175" i="1"/>
  <c r="FP175" i="1" s="1"/>
  <c r="FO176" i="1"/>
  <c r="FP176" i="1" s="1"/>
  <c r="FO178" i="1"/>
  <c r="FP178" i="1" s="1"/>
  <c r="FO179" i="1"/>
  <c r="FP179" i="1" s="1"/>
  <c r="FO180" i="1"/>
  <c r="FP180" i="1" s="1"/>
  <c r="FO181" i="1"/>
  <c r="FP181" i="1" s="1"/>
  <c r="FO182" i="1"/>
  <c r="FP182" i="1" s="1"/>
  <c r="FO183" i="1"/>
  <c r="FP183" i="1" s="1"/>
  <c r="FO184" i="1"/>
  <c r="FP184" i="1" s="1"/>
  <c r="FO185" i="1"/>
  <c r="FP185" i="1" s="1"/>
  <c r="FO186" i="1"/>
  <c r="FP186" i="1" s="1"/>
  <c r="FO187" i="1"/>
  <c r="FP187" i="1" s="1"/>
  <c r="FO188" i="1"/>
  <c r="FP188" i="1" s="1"/>
  <c r="FO189" i="1"/>
  <c r="FP189" i="1" s="1"/>
  <c r="FO190" i="1"/>
  <c r="FP190" i="1" s="1"/>
  <c r="FO191" i="1"/>
  <c r="FP191" i="1" s="1"/>
  <c r="FO192" i="1"/>
  <c r="FP192" i="1" s="1"/>
  <c r="FO193" i="1"/>
  <c r="FP193" i="1" s="1"/>
  <c r="FO194" i="1"/>
  <c r="FP194" i="1" s="1"/>
  <c r="FO195" i="1"/>
  <c r="FP195" i="1" s="1"/>
  <c r="FO196" i="1"/>
  <c r="FP196" i="1" s="1"/>
  <c r="FO197" i="1"/>
  <c r="FP197" i="1" s="1"/>
  <c r="FO198" i="1"/>
  <c r="FP198" i="1" s="1"/>
  <c r="FO199" i="1"/>
  <c r="FP199" i="1" s="1"/>
  <c r="FO200" i="1"/>
  <c r="FP200" i="1" s="1"/>
  <c r="FO201" i="1"/>
  <c r="FP201" i="1" s="1"/>
  <c r="FO202" i="1"/>
  <c r="FP202" i="1" s="1"/>
  <c r="FO203" i="1"/>
  <c r="FP203" i="1" s="1"/>
  <c r="FO204" i="1"/>
  <c r="FP204" i="1" s="1"/>
  <c r="FO205" i="1"/>
  <c r="FP205" i="1" s="1"/>
  <c r="FO206" i="1"/>
  <c r="FP206" i="1" s="1"/>
  <c r="FO207" i="1"/>
  <c r="FP207" i="1" s="1"/>
  <c r="FO208" i="1"/>
  <c r="FP208" i="1" s="1"/>
  <c r="FO209" i="1"/>
  <c r="FP209" i="1" s="1"/>
  <c r="FO210" i="1"/>
  <c r="FP210" i="1" s="1"/>
  <c r="FO211" i="1"/>
  <c r="FP211" i="1" s="1"/>
  <c r="FO212" i="1"/>
  <c r="FP212" i="1" s="1"/>
  <c r="FO213" i="1"/>
  <c r="FP213" i="1" s="1"/>
  <c r="FO214" i="1"/>
  <c r="FP214" i="1" s="1"/>
  <c r="FO215" i="1"/>
  <c r="FP215" i="1" s="1"/>
  <c r="FO216" i="1"/>
  <c r="FP216" i="1" s="1"/>
  <c r="FO217" i="1"/>
  <c r="FP217" i="1" s="1"/>
  <c r="FO218" i="1"/>
  <c r="FP218" i="1" s="1"/>
  <c r="FO219" i="1"/>
  <c r="FP219" i="1" s="1"/>
  <c r="FO220" i="1"/>
  <c r="FP220" i="1" s="1"/>
  <c r="FO221" i="1"/>
  <c r="FP221" i="1" s="1"/>
  <c r="FO222" i="1"/>
  <c r="FP222" i="1" s="1"/>
  <c r="FO223" i="1"/>
  <c r="FP223" i="1" s="1"/>
  <c r="FO224" i="1"/>
  <c r="FP224" i="1" s="1"/>
  <c r="FO225" i="1"/>
  <c r="FP225" i="1" s="1"/>
  <c r="FO226" i="1"/>
  <c r="FP226" i="1" s="1"/>
  <c r="FO227" i="1"/>
  <c r="FP227" i="1" s="1"/>
  <c r="FO228" i="1"/>
  <c r="FP228" i="1" s="1"/>
  <c r="FO229" i="1"/>
  <c r="FP229" i="1" s="1"/>
  <c r="FO230" i="1"/>
  <c r="FP230" i="1" s="1"/>
  <c r="FO231" i="1"/>
  <c r="FP231" i="1" s="1"/>
  <c r="FO232" i="1"/>
  <c r="FP232" i="1" s="1"/>
  <c r="FO233" i="1"/>
  <c r="FP233" i="1" s="1"/>
  <c r="FO234" i="1"/>
  <c r="FP234" i="1" s="1"/>
  <c r="FO235" i="1"/>
  <c r="FP235" i="1" s="1"/>
  <c r="FO236" i="1"/>
  <c r="FP236" i="1" s="1"/>
  <c r="FO237" i="1"/>
  <c r="FP237" i="1" s="1"/>
  <c r="FO238" i="1"/>
  <c r="FP238" i="1" s="1"/>
  <c r="FO239" i="1"/>
  <c r="FP239" i="1" s="1"/>
  <c r="FO240" i="1"/>
  <c r="FP240" i="1" s="1"/>
  <c r="FO241" i="1"/>
  <c r="FP241" i="1" s="1"/>
  <c r="FO242" i="1"/>
  <c r="FP242" i="1" s="1"/>
  <c r="FO243" i="1"/>
  <c r="FP243" i="1" s="1"/>
  <c r="FO244" i="1"/>
  <c r="FP244" i="1" s="1"/>
  <c r="FO245" i="1"/>
  <c r="FP245" i="1" s="1"/>
  <c r="FO246" i="1"/>
  <c r="FP246" i="1" s="1"/>
  <c r="FO247" i="1"/>
  <c r="FP247" i="1" s="1"/>
  <c r="FO248" i="1"/>
  <c r="FP248" i="1" s="1"/>
  <c r="FO249" i="1"/>
  <c r="FP249" i="1" s="1"/>
  <c r="FO250" i="1"/>
  <c r="FP250" i="1" s="1"/>
  <c r="FO251" i="1"/>
  <c r="FP251" i="1" s="1"/>
  <c r="FO252" i="1"/>
  <c r="FP252" i="1" s="1"/>
  <c r="FO253" i="1"/>
  <c r="FP253" i="1" s="1"/>
  <c r="FO254" i="1"/>
  <c r="FP254" i="1" s="1"/>
  <c r="FO255" i="1"/>
  <c r="FP255" i="1" s="1"/>
  <c r="FO256" i="1"/>
  <c r="FP256" i="1" s="1"/>
  <c r="FO257" i="1"/>
  <c r="FP257" i="1" s="1"/>
  <c r="FO258" i="1"/>
  <c r="FP258" i="1" s="1"/>
  <c r="FO259" i="1"/>
  <c r="FP259" i="1" s="1"/>
  <c r="FO260" i="1"/>
  <c r="FP260" i="1" s="1"/>
  <c r="FO261" i="1"/>
  <c r="FP261" i="1" s="1"/>
  <c r="FO262" i="1"/>
  <c r="FP262" i="1" s="1"/>
  <c r="FO263" i="1"/>
  <c r="FP263" i="1" s="1"/>
  <c r="FO264" i="1"/>
  <c r="FP264" i="1" s="1"/>
  <c r="FO265" i="1"/>
  <c r="FP265" i="1" s="1"/>
  <c r="FO266" i="1"/>
  <c r="FP266" i="1" s="1"/>
  <c r="FO267" i="1"/>
  <c r="FP267" i="1" s="1"/>
  <c r="FO268" i="1"/>
  <c r="FP268" i="1" s="1"/>
  <c r="FO269" i="1"/>
  <c r="FP269" i="1" s="1"/>
  <c r="FO270" i="1"/>
  <c r="FP270" i="1" s="1"/>
  <c r="FO271" i="1"/>
  <c r="FP271" i="1" s="1"/>
  <c r="FO272" i="1"/>
  <c r="FP272" i="1" s="1"/>
  <c r="FO273" i="1"/>
  <c r="FP273" i="1" s="1"/>
  <c r="FO274" i="1"/>
  <c r="FP274" i="1" s="1"/>
  <c r="FO275" i="1"/>
  <c r="FP275" i="1" s="1"/>
  <c r="FO276" i="1"/>
  <c r="FP276" i="1" s="1"/>
  <c r="FO277" i="1"/>
  <c r="FP277" i="1" s="1"/>
  <c r="FO278" i="1"/>
  <c r="FP278" i="1" s="1"/>
  <c r="FO279" i="1"/>
  <c r="FP279" i="1" s="1"/>
  <c r="FO280" i="1"/>
  <c r="FP280" i="1" s="1"/>
  <c r="FO281" i="1"/>
  <c r="FP281" i="1" s="1"/>
  <c r="FO282" i="1"/>
  <c r="FP282" i="1" s="1"/>
  <c r="FO283" i="1"/>
  <c r="FP283" i="1" s="1"/>
  <c r="FO284" i="1"/>
  <c r="FP284" i="1" s="1"/>
  <c r="FO285" i="1"/>
  <c r="FP285" i="1" s="1"/>
  <c r="FO286" i="1"/>
  <c r="FP286" i="1" s="1"/>
  <c r="FO287" i="1"/>
  <c r="FP287" i="1" s="1"/>
  <c r="FO288" i="1"/>
  <c r="FP288" i="1" s="1"/>
  <c r="FO289" i="1"/>
  <c r="FP289" i="1" s="1"/>
  <c r="FO290" i="1"/>
  <c r="FP290" i="1" s="1"/>
  <c r="FO291" i="1"/>
  <c r="FP291" i="1" s="1"/>
  <c r="FO292" i="1"/>
  <c r="FP292" i="1" s="1"/>
  <c r="FO293" i="1"/>
  <c r="FP293" i="1" s="1"/>
  <c r="FO294" i="1"/>
  <c r="FP294" i="1" s="1"/>
  <c r="FO295" i="1"/>
  <c r="FP295" i="1" s="1"/>
  <c r="FO296" i="1"/>
  <c r="FP296" i="1" s="1"/>
  <c r="FO297" i="1"/>
  <c r="FP297" i="1" s="1"/>
  <c r="J46" i="2" l="1"/>
  <c r="J47" i="2"/>
  <c r="G30" i="2"/>
  <c r="J30" i="2"/>
  <c r="G22" i="2"/>
  <c r="G67" i="2"/>
  <c r="S13" i="2" s="1"/>
  <c r="D54" i="2"/>
  <c r="J70" i="2"/>
  <c r="D51" i="2"/>
  <c r="G54" i="2"/>
  <c r="D57" i="2"/>
  <c r="D43" i="2"/>
  <c r="G23" i="2"/>
  <c r="G12" i="2"/>
  <c r="S14" i="2" s="1"/>
  <c r="J25" i="2"/>
  <c r="D12" i="2"/>
  <c r="R14" i="2" s="1"/>
  <c r="D68" i="2"/>
  <c r="G36" i="2"/>
  <c r="S8" i="2" s="1"/>
  <c r="J19" i="2"/>
  <c r="J57" i="2"/>
  <c r="G14" i="2"/>
  <c r="J43" i="2"/>
  <c r="J65" i="2"/>
  <c r="J28" i="2"/>
  <c r="D23" i="2"/>
  <c r="J14" i="2"/>
  <c r="G28" i="2"/>
  <c r="J13" i="2"/>
  <c r="J11" i="2"/>
  <c r="G18" i="2"/>
  <c r="G63" i="2"/>
  <c r="G75" i="2"/>
  <c r="G40" i="2"/>
  <c r="J12" i="2"/>
  <c r="T14" i="2" s="1"/>
  <c r="D56" i="2"/>
  <c r="J18" i="2"/>
  <c r="D28" i="2"/>
  <c r="D17" i="2"/>
  <c r="J72" i="2"/>
  <c r="T15" i="2" s="1"/>
  <c r="G58" i="2"/>
  <c r="D70" i="2"/>
  <c r="D38" i="2"/>
  <c r="R9" i="2" s="1"/>
  <c r="J17" i="2"/>
  <c r="J58" i="2"/>
  <c r="J53" i="2"/>
  <c r="D18" i="2"/>
  <c r="D67" i="2"/>
  <c r="R13" i="2" s="1"/>
  <c r="G44" i="2"/>
  <c r="G60" i="2"/>
  <c r="S12" i="2" s="1"/>
  <c r="G57" i="2"/>
  <c r="D45" i="2"/>
  <c r="D36" i="2"/>
  <c r="R8" i="2" s="1"/>
  <c r="J34" i="2"/>
  <c r="D65" i="2"/>
  <c r="J45" i="2"/>
  <c r="J56" i="2"/>
  <c r="G70" i="2"/>
  <c r="J63" i="2"/>
  <c r="J23" i="2"/>
  <c r="J44" i="2"/>
  <c r="G64" i="2"/>
  <c r="G26" i="2"/>
  <c r="D69" i="2"/>
  <c r="G62" i="2"/>
  <c r="J64" i="2"/>
  <c r="G41" i="2"/>
  <c r="S10" i="2" s="1"/>
  <c r="D19" i="2"/>
  <c r="D53" i="2"/>
  <c r="G69" i="2"/>
  <c r="G24" i="2"/>
  <c r="J15" i="2"/>
  <c r="J29" i="2"/>
  <c r="J22" i="2"/>
  <c r="D29" i="2"/>
  <c r="J51" i="2"/>
  <c r="G43" i="2"/>
  <c r="J69" i="2"/>
  <c r="G11" i="2"/>
  <c r="D6" i="2"/>
  <c r="R17" i="2" s="1"/>
  <c r="D13" i="2"/>
  <c r="J39" i="2"/>
  <c r="J38" i="2"/>
  <c r="T9" i="2" s="1"/>
  <c r="G53" i="2"/>
  <c r="G15" i="2"/>
  <c r="D40" i="2"/>
  <c r="J26" i="2"/>
  <c r="D41" i="2"/>
  <c r="R10" i="2" s="1"/>
  <c r="D72" i="2"/>
  <c r="R15" i="2" s="1"/>
  <c r="G35" i="2"/>
  <c r="G39" i="2"/>
  <c r="G65" i="2"/>
  <c r="G34" i="2"/>
  <c r="D44" i="2"/>
  <c r="D24" i="2"/>
  <c r="G72" i="2"/>
  <c r="S15" i="2" s="1"/>
  <c r="G38" i="2"/>
  <c r="S9" i="2" s="1"/>
  <c r="G56" i="2"/>
  <c r="G59" i="2"/>
  <c r="G68" i="2"/>
  <c r="G55" i="2"/>
  <c r="D34" i="2"/>
  <c r="D25" i="2"/>
  <c r="J24" i="2"/>
  <c r="J36" i="2"/>
  <c r="T8" i="2" s="1"/>
  <c r="J41" i="2"/>
  <c r="J68" i="2"/>
  <c r="J67" i="2"/>
  <c r="T13" i="2" s="1"/>
  <c r="D22" i="2"/>
  <c r="G45" i="2"/>
  <c r="G25" i="2"/>
  <c r="G51" i="2"/>
  <c r="D63" i="2"/>
  <c r="G29" i="2"/>
  <c r="G13" i="2"/>
  <c r="D75" i="2"/>
  <c r="J60" i="2"/>
  <c r="T12" i="2" s="1"/>
  <c r="J35" i="2"/>
  <c r="G46" i="2"/>
  <c r="D60" i="2"/>
  <c r="R12" i="2" s="1"/>
  <c r="D35" i="2"/>
  <c r="D11" i="2"/>
  <c r="D46" i="2"/>
  <c r="G17" i="2"/>
  <c r="D39" i="2"/>
  <c r="J40" i="2"/>
  <c r="D62" i="2"/>
  <c r="D47" i="2"/>
  <c r="R11" i="2" s="1"/>
  <c r="G19" i="2"/>
  <c r="D26" i="2"/>
  <c r="D14" i="2"/>
  <c r="G47" i="2"/>
  <c r="D59" i="2"/>
  <c r="J59" i="2"/>
  <c r="D64" i="2"/>
  <c r="D58" i="2"/>
  <c r="D55" i="2"/>
  <c r="D15" i="2"/>
  <c r="J75" i="2"/>
  <c r="J55" i="2"/>
  <c r="J54" i="2"/>
  <c r="J6" i="2"/>
  <c r="G6" i="2"/>
  <c r="J73" i="2" l="1"/>
  <c r="K73" i="2" s="1"/>
  <c r="J62" i="2"/>
  <c r="L62" i="2" s="1"/>
  <c r="S17" i="2"/>
  <c r="H30" i="2"/>
  <c r="S11" i="2"/>
  <c r="K30" i="2"/>
  <c r="T17" i="2"/>
  <c r="K46" i="2"/>
  <c r="T10" i="2"/>
  <c r="L64" i="2"/>
  <c r="L26" i="2"/>
  <c r="O11" i="2"/>
  <c r="N11" i="2"/>
  <c r="P11" i="2"/>
  <c r="I47" i="2"/>
  <c r="L22" i="2"/>
  <c r="L23" i="2"/>
  <c r="H60" i="2"/>
  <c r="G52" i="2"/>
  <c r="H52" i="2" s="1"/>
  <c r="I25" i="2"/>
  <c r="I54" i="2"/>
  <c r="I23" i="2"/>
  <c r="L54" i="2"/>
  <c r="E57" i="2"/>
  <c r="I67" i="2"/>
  <c r="J31" i="2"/>
  <c r="I65" i="2"/>
  <c r="L28" i="2"/>
  <c r="E69" i="2"/>
  <c r="I64" i="2"/>
  <c r="E55" i="2"/>
  <c r="E59" i="2"/>
  <c r="E39" i="2"/>
  <c r="E35" i="2"/>
  <c r="E22" i="2"/>
  <c r="I38" i="2"/>
  <c r="I53" i="2"/>
  <c r="K53" i="2"/>
  <c r="K51" i="2"/>
  <c r="K56" i="2"/>
  <c r="K22" i="2"/>
  <c r="K64" i="2"/>
  <c r="K45" i="2"/>
  <c r="K26" i="2"/>
  <c r="H26" i="2"/>
  <c r="L53" i="2"/>
  <c r="K58" i="2"/>
  <c r="H40" i="2"/>
  <c r="I11" i="2"/>
  <c r="G73" i="2"/>
  <c r="H73" i="2" s="1"/>
  <c r="K28" i="2"/>
  <c r="K69" i="2"/>
  <c r="L11" i="2"/>
  <c r="K60" i="2"/>
  <c r="K36" i="2"/>
  <c r="H34" i="2"/>
  <c r="L25" i="2"/>
  <c r="L63" i="2"/>
  <c r="L24" i="2"/>
  <c r="E51" i="2"/>
  <c r="K67" i="2"/>
  <c r="J10" i="2" s="1"/>
  <c r="H68" i="2"/>
  <c r="E41" i="2"/>
  <c r="E68" i="2"/>
  <c r="E29" i="2"/>
  <c r="E45" i="2"/>
  <c r="E25" i="2"/>
  <c r="H59" i="2"/>
  <c r="E24" i="2"/>
  <c r="I28" i="2"/>
  <c r="D31" i="2"/>
  <c r="D32" i="2" s="1"/>
  <c r="E32" i="2" s="1"/>
  <c r="E38" i="2"/>
  <c r="E56" i="2"/>
  <c r="E23" i="2"/>
  <c r="H28" i="2"/>
  <c r="H39" i="2"/>
  <c r="I6" i="2"/>
  <c r="H55" i="2"/>
  <c r="E36" i="2"/>
  <c r="H41" i="2"/>
  <c r="K23" i="2"/>
  <c r="E58" i="2"/>
  <c r="E47" i="2"/>
  <c r="E60" i="2"/>
  <c r="E67" i="2"/>
  <c r="D10" i="2" s="1"/>
  <c r="E43" i="2"/>
  <c r="K24" i="2"/>
  <c r="K44" i="2"/>
  <c r="H43" i="2"/>
  <c r="K38" i="2"/>
  <c r="K70" i="2"/>
  <c r="K65" i="2"/>
  <c r="E64" i="2"/>
  <c r="E62" i="2"/>
  <c r="E46" i="2"/>
  <c r="E65" i="2"/>
  <c r="H22" i="2"/>
  <c r="K25" i="2"/>
  <c r="E54" i="2"/>
  <c r="H38" i="2"/>
  <c r="H54" i="2"/>
  <c r="L65" i="2"/>
  <c r="I55" i="2"/>
  <c r="K29" i="2"/>
  <c r="H23" i="2"/>
  <c r="K55" i="2"/>
  <c r="K59" i="2"/>
  <c r="E26" i="2"/>
  <c r="K40" i="2"/>
  <c r="K35" i="2"/>
  <c r="I29" i="2"/>
  <c r="H45" i="2"/>
  <c r="K41" i="2"/>
  <c r="E34" i="2"/>
  <c r="H56" i="2"/>
  <c r="E44" i="2"/>
  <c r="H35" i="2"/>
  <c r="E40" i="2"/>
  <c r="K39" i="2"/>
  <c r="E53" i="2"/>
  <c r="E70" i="2"/>
  <c r="E28" i="2"/>
  <c r="L67" i="2"/>
  <c r="J52" i="2"/>
  <c r="K52" i="2" s="1"/>
  <c r="I26" i="2"/>
  <c r="H29" i="2"/>
  <c r="L55" i="2"/>
  <c r="H36" i="2"/>
  <c r="I22" i="2"/>
  <c r="H24" i="2"/>
  <c r="H58" i="2"/>
  <c r="L6" i="2"/>
  <c r="H47" i="2"/>
  <c r="H51" i="2"/>
  <c r="I62" i="2"/>
  <c r="D73" i="2"/>
  <c r="E73" i="2" s="1"/>
  <c r="E63" i="2"/>
  <c r="H62" i="2"/>
  <c r="H65" i="2"/>
  <c r="L29" i="2"/>
  <c r="K57" i="2"/>
  <c r="H57" i="2"/>
  <c r="H53" i="2"/>
  <c r="H64" i="2"/>
  <c r="K63" i="2"/>
  <c r="H63" i="2"/>
  <c r="K54" i="2"/>
  <c r="G31" i="2"/>
  <c r="H31" i="2" s="1"/>
  <c r="H67" i="2"/>
  <c r="K68" i="2"/>
  <c r="H44" i="2"/>
  <c r="H25" i="2"/>
  <c r="K43" i="2"/>
  <c r="H69" i="2"/>
  <c r="D52" i="2"/>
  <c r="E52" i="2" s="1"/>
  <c r="H70" i="2"/>
  <c r="K34" i="2"/>
  <c r="H46" i="2"/>
  <c r="L38" i="2"/>
  <c r="I63" i="2"/>
  <c r="I24" i="2"/>
  <c r="K62" i="2" l="1"/>
  <c r="O62" i="2" s="1"/>
  <c r="K47" i="2"/>
  <c r="O47" i="2" s="1"/>
  <c r="T11" i="2"/>
  <c r="L47" i="2"/>
  <c r="O28" i="2"/>
  <c r="N22" i="2"/>
  <c r="K31" i="2"/>
  <c r="O31" i="2" s="1"/>
  <c r="N62" i="2"/>
  <c r="N24" i="2"/>
  <c r="E31" i="2"/>
  <c r="N31" i="2" s="1"/>
  <c r="N47" i="2"/>
  <c r="O22" i="2"/>
  <c r="J32" i="2"/>
  <c r="K32" i="2" s="1"/>
  <c r="N65" i="2"/>
  <c r="O26" i="2"/>
  <c r="L31" i="2"/>
  <c r="N69" i="2"/>
  <c r="O68" i="2"/>
  <c r="N25" i="2"/>
  <c r="N26" i="2"/>
  <c r="O25" i="2"/>
  <c r="N67" i="2"/>
  <c r="N68" i="2"/>
  <c r="L52" i="2"/>
  <c r="G32" i="2"/>
  <c r="H32" i="2" s="1"/>
  <c r="N70" i="2"/>
  <c r="N23" i="2"/>
  <c r="O24" i="2"/>
  <c r="I31" i="2"/>
  <c r="O29" i="2"/>
  <c r="O65" i="2"/>
  <c r="O63" i="2"/>
  <c r="N64" i="2"/>
  <c r="N28" i="2"/>
  <c r="O23" i="2"/>
  <c r="N29" i="2"/>
  <c r="O70" i="2"/>
  <c r="O67" i="2"/>
  <c r="I52" i="2"/>
  <c r="G10" i="2"/>
  <c r="L10" i="2" s="1"/>
  <c r="O64" i="2"/>
  <c r="N63" i="2"/>
  <c r="O69" i="2"/>
  <c r="I10" i="2" l="1"/>
</calcChain>
</file>

<file path=xl/sharedStrings.xml><?xml version="1.0" encoding="utf-8"?>
<sst xmlns="http://schemas.openxmlformats.org/spreadsheetml/2006/main" count="599" uniqueCount="409">
  <si>
    <t>Kunta</t>
  </si>
  <si>
    <t>Asukasluku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</si>
  <si>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</si>
  <si>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</si>
  <si>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</si>
  <si>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</si>
  <si>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</si>
  <si>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</si>
  <si>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</si>
  <si>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</si>
  <si>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</si>
  <si>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</si>
  <si>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</si>
  <si>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</si>
  <si>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</si>
  <si>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</si>
  <si>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</si>
  <si>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</si>
  <si>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</si>
  <si>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</si>
  <si>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</si>
  <si>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</si>
  <si>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</si>
  <si>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</si>
  <si>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</si>
  <si>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</si>
  <si>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</si>
  <si>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</si>
  <si>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</si>
  <si>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</si>
  <si>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</si>
  <si>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</si>
  <si>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</si>
  <si>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</si>
  <si>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</si>
  <si>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</si>
  <si>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</si>
  <si>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</si>
  <si>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</si>
  <si>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</si>
  <si>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</si>
  <si>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</si>
  <si>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</si>
  <si>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</si>
  <si>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</si>
  <si>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</si>
  <si>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</si>
  <si>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</si>
  <si>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</si>
  <si>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</si>
  <si>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</si>
  <si>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</si>
  <si>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</si>
  <si>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</si>
  <si>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</si>
  <si>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</si>
  <si>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</si>
  <si>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</si>
  <si>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</si>
  <si>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</si>
  <si>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</si>
  <si>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</si>
  <si>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</si>
  <si>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</si>
  <si>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</si>
  <si>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</si>
  <si>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</si>
  <si>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</si>
  <si>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</si>
  <si>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</si>
  <si>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</si>
  <si>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</si>
  <si>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</si>
  <si>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</si>
  <si>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</si>
  <si>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</si>
  <si>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</si>
  <si>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</si>
  <si>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</si>
  <si>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</si>
  <si>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</si>
  <si>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</si>
  <si>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</si>
  <si>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</si>
  <si>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</si>
  <si>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</si>
  <si>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</si>
  <si>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</si>
  <si>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</si>
  <si>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</si>
  <si>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</si>
  <si>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</si>
  <si>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</si>
  <si>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</si>
  <si>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</si>
  <si>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</si>
  <si>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</si>
  <si>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</si>
  <si>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</si>
  <si>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</si>
  <si>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</si>
  <si>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</si>
  <si>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</si>
  <si>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</si>
  <si>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</si>
  <si>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</si>
  <si>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</si>
  <si>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</si>
  <si>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</si>
  <si>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</si>
  <si>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</si>
  <si>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</si>
  <si>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</si>
  <si>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</si>
  <si>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</si>
  <si>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</si>
  <si>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</si>
  <si>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</si>
  <si>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</si>
  <si>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</si>
  <si>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</si>
  <si>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</si>
  <si>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</si>
  <si>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</si>
  <si>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</si>
  <si>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</si>
  <si>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</si>
  <si>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</si>
  <si>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</si>
  <si>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</si>
  <si>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</si>
  <si>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</si>
  <si>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</si>
  <si>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</si>
  <si>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</si>
  <si>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</si>
  <si>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</si>
  <si>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</si>
  <si>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</si>
  <si>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</si>
  <si>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</si>
  <si>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</si>
  <si>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</si>
  <si>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</si>
  <si>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</si>
  <si>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</si>
  <si>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</si>
  <si>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</si>
  <si>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</si>
  <si>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</si>
  <si>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</si>
  <si>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</si>
  <si>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</si>
  <si>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</si>
  <si>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</si>
  <si>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</si>
  <si>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</si>
  <si>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</si>
  <si>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</si>
  <si>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</si>
  <si>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</si>
  <si>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</si>
  <si>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</si>
  <si>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</si>
  <si>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</si>
  <si>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</si>
  <si>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</si>
  <si>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</si>
  <si>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</si>
  <si>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</si>
  <si>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</si>
  <si>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</si>
  <si>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</si>
  <si>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</si>
  <si>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</si>
  <si>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</si>
  <si>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</si>
  <si>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</si>
  <si>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</si>
  <si>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</si>
  <si>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</si>
  <si>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</si>
  <si>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</si>
  <si>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</si>
  <si>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</si>
  <si>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</si>
  <si>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</si>
  <si>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</si>
  <si>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</si>
  <si>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</si>
  <si>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</si>
  <si>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</si>
  <si>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</si>
  <si>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</si>
  <si>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</si>
  <si>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</si>
  <si>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</si>
  <si>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</si>
  <si>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</si>
  <si>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</si>
  <si>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</si>
  <si>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</si>
  <si>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</si>
  <si>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</si>
  <si>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</si>
  <si>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</si>
  <si>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</si>
  <si>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</si>
  <si>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</si>
  <si>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</si>
  <si>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</si>
  <si>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</si>
  <si>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</si>
  <si>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</si>
  <si>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</si>
  <si>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</si>
  <si>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</si>
  <si>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</si>
  <si>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</si>
  <si>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</si>
  <si>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</si>
  <si>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</si>
  <si>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</si>
  <si>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</si>
  <si>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</si>
  <si>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</si>
  <si>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</si>
  <si>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</si>
  <si>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</si>
  <si>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</si>
  <si>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</si>
  <si>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</si>
  <si>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</si>
  <si>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</si>
  <si>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</si>
  <si>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</si>
  <si>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</si>
  <si>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</si>
  <si>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</si>
  <si>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</si>
  <si>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</si>
  <si>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</si>
  <si>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</si>
  <si>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</si>
  <si>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</si>
  <si>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</si>
  <si>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</si>
  <si>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</si>
  <si>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</si>
  <si>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</si>
  <si>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</si>
  <si>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</si>
  <si>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</si>
  <si>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</si>
  <si>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</si>
  <si>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</si>
  <si>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</si>
  <si>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</si>
  <si>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</si>
  <si>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</si>
  <si>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</si>
  <si>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</si>
  <si>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</si>
  <si>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</si>
  <si>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</si>
  <si>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</si>
  <si>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</si>
  <si>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</si>
  <si>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</si>
  <si>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</si>
  <si>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</si>
  <si>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</si>
  <si>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</si>
  <si>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</si>
  <si>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</si>
  <si>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</si>
  <si>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</si>
  <si>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</si>
  <si>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</si>
  <si>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</si>
  <si>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</si>
  <si>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</si>
  <si>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</si>
  <si>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</si>
  <si>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</si>
  <si>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</si>
  <si>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Alv-takaisinperintä</t>
  </si>
  <si>
    <t>Toimintatuotot</t>
  </si>
  <si>
    <t>Toimintakulut</t>
  </si>
  <si>
    <t>Toimintakate</t>
  </si>
  <si>
    <t>Verotulot</t>
  </si>
  <si>
    <t>Valtionosuudet</t>
  </si>
  <si>
    <t>Käyttökate</t>
  </si>
  <si>
    <t>Vuosikate</t>
  </si>
  <si>
    <t>Tilikauden tulos</t>
  </si>
  <si>
    <t>Poistoeron lisäys(-) tai vähennys(+)</t>
  </si>
  <si>
    <t>Varausten lisäys(-) tai vähennys(+)</t>
  </si>
  <si>
    <t>Rahastojen lisäys(-) tai vähennys(+)</t>
  </si>
  <si>
    <t>Tilikauden yli- tai alijäämä</t>
  </si>
  <si>
    <t>Tuloslaskelma</t>
  </si>
  <si>
    <t>Rahoituslaskelma</t>
  </si>
  <si>
    <t>Pitkäaikaisten lainojen vähennys</t>
  </si>
  <si>
    <t>Investoinnit, netto</t>
  </si>
  <si>
    <t>Muut rahoituskulut/-tuotot, netto</t>
  </si>
  <si>
    <t>Korkotuotot/-menot, netto</t>
  </si>
  <si>
    <t>Kassan riittävyys, pv</t>
  </si>
  <si>
    <t>Lainanhoitokate</t>
  </si>
  <si>
    <t>Suhteellinen velkaantuneisuus-%</t>
  </si>
  <si>
    <t>Tunnuslukuja</t>
  </si>
  <si>
    <t>Satunnaiset tuotot</t>
  </si>
  <si>
    <t>Satunnaiset kulut</t>
  </si>
  <si>
    <t xml:space="preserve"> </t>
  </si>
  <si>
    <t>Kunnallisvero</t>
  </si>
  <si>
    <t>Yhteisövero</t>
  </si>
  <si>
    <t>Kiinteistövero</t>
  </si>
  <si>
    <t>Veroprosenttiyksikön tuotto</t>
  </si>
  <si>
    <t>Sijoitus vuosikatteen mukaan</t>
  </si>
  <si>
    <t>Tuloveroprosentti</t>
  </si>
  <si>
    <t>Osuus yhteisöveron tuotosta</t>
  </si>
  <si>
    <t>Pedersören kunta</t>
  </si>
  <si>
    <t>Lainat, euro/as</t>
  </si>
  <si>
    <t>Rahoitusvarallisuus, euro/as</t>
  </si>
  <si>
    <t>Kassastamaksut, euro/as</t>
  </si>
  <si>
    <t>euro/as</t>
  </si>
  <si>
    <t>Henkilöstökulut</t>
  </si>
  <si>
    <t>Suunnitelman mukaiset poistot ja arvonalen.</t>
  </si>
  <si>
    <t>Valitse kunta valikosta:</t>
  </si>
  <si>
    <t>Suunnitelman mukaiset poistot ja arvonalet</t>
  </si>
  <si>
    <t>Omavaraisuusaste, %</t>
  </si>
  <si>
    <t>Kassasta maksut, €/as</t>
  </si>
  <si>
    <t>Palvelujen ostot</t>
  </si>
  <si>
    <r>
      <t xml:space="preserve">Henkilöstömenot </t>
    </r>
    <r>
      <rPr>
        <sz val="8"/>
        <rFont val="Arial"/>
        <family val="2"/>
      </rPr>
      <t>(palkat+sivukulut)</t>
    </r>
  </si>
  <si>
    <t>Lähde: Tilastokeskus</t>
  </si>
  <si>
    <t>Toiminnan ja investointien rahavirta</t>
  </si>
  <si>
    <t>Akaa</t>
  </si>
  <si>
    <t>Valtionosuudet,</t>
  </si>
  <si>
    <t xml:space="preserve"> - Investointimenot</t>
  </si>
  <si>
    <t xml:space="preserve"> + Rahoitusosuudet investointimenoihin</t>
  </si>
  <si>
    <t xml:space="preserve"> + Investointihyödykkeiden luovutustulot</t>
  </si>
  <si>
    <t>Pitkäaikaisten lainojen lisäys</t>
  </si>
  <si>
    <t xml:space="preserve"> ± Lyhytaikaisten lainojen muutos</t>
  </si>
  <si>
    <t>muut.%</t>
  </si>
  <si>
    <t>Lainakanta</t>
  </si>
  <si>
    <t>josta pitkäaikainen laina</t>
  </si>
  <si>
    <t>josta lyhytaikainen laina</t>
  </si>
  <si>
    <t>Lainakanta,</t>
  </si>
  <si>
    <t>Lainasaamiset</t>
  </si>
  <si>
    <t>josta pitkäaik</t>
  </si>
  <si>
    <t>Konsernilainat €/as</t>
  </si>
  <si>
    <t>Rahoitusvarallisuus, e/as</t>
  </si>
  <si>
    <t>Kunta nro</t>
  </si>
  <si>
    <t>Kumulat yli/alij</t>
  </si>
  <si>
    <t>Muut rahoitustuotot/-menot, netto (sis Osinkotuotot)</t>
  </si>
  <si>
    <t>Toim ja inv rahavirta</t>
  </si>
  <si>
    <t>josta lyhytaik</t>
  </si>
  <si>
    <t>Rahavarat e/as</t>
  </si>
  <si>
    <t>Tulorah (toiminnan rahavirta)</t>
  </si>
  <si>
    <t>Saamisten muutos</t>
  </si>
  <si>
    <t>Rahavarat, euro/as</t>
  </si>
  <si>
    <t>Sijoitus vuosikatteen (euro/as) mukaan</t>
  </si>
  <si>
    <t>Verorahoitus</t>
  </si>
  <si>
    <t>Konsernilainat, euro/as</t>
  </si>
  <si>
    <t>Kemiönsaari</t>
  </si>
  <si>
    <t>Mänttä-Vilppula</t>
  </si>
  <si>
    <t>Raasepori</t>
  </si>
  <si>
    <t>Sastamala</t>
  </si>
  <si>
    <t>Siikalatva</t>
  </si>
  <si>
    <t xml:space="preserve">Rahoitusvarallisuus = ((saamiset + rahoitusarvopaperit + rahat ja pankkisaamiset) - (vieras pääoma - saadut ennakot)) </t>
  </si>
  <si>
    <t>Erillistiedot</t>
  </si>
  <si>
    <t>summana</t>
  </si>
  <si>
    <t>Kristiinankaupunki</t>
  </si>
  <si>
    <t>Toimintatuotot, sis. valmistus omaan käyt.</t>
  </si>
  <si>
    <t>€/as</t>
  </si>
  <si>
    <t>Vöyri</t>
  </si>
  <si>
    <t>tuotto</t>
  </si>
  <si>
    <t>Yhden vero%:n</t>
  </si>
  <si>
    <t>tuotto, €/as</t>
  </si>
  <si>
    <t>KOKO MAA (Manner-Suomi)</t>
  </si>
  <si>
    <t>Parainen</t>
  </si>
  <si>
    <t>Satu. tuotot</t>
  </si>
  <si>
    <t>Satu. kulut</t>
  </si>
  <si>
    <t xml:space="preserve"> + Rahoitusos. investointimenoihin</t>
  </si>
  <si>
    <t xml:space="preserve"> + Investointihyödykk. luovutustulot</t>
  </si>
  <si>
    <t xml:space="preserve">Asukasluku </t>
  </si>
  <si>
    <t>Tilikauden yli-/alijäämä</t>
  </si>
  <si>
    <t>Toiminnan rahavirta</t>
  </si>
  <si>
    <t>Suhteellinen velkaantuneisuus, %</t>
  </si>
  <si>
    <t>-</t>
  </si>
  <si>
    <t>Konsernivelka, €</t>
  </si>
  <si>
    <t xml:space="preserve">Saamisten muutos </t>
  </si>
  <si>
    <t>Palvelujen ostot 2018</t>
  </si>
  <si>
    <t>Harkvar2018</t>
  </si>
  <si>
    <t>Taseen kertynyt yli-/alijäämä</t>
  </si>
  <si>
    <t xml:space="preserve">Tuloveroprosentti </t>
  </si>
  <si>
    <t>Palvelujen ostot 2019</t>
  </si>
  <si>
    <t>Harkvar2019</t>
  </si>
  <si>
    <t>2018 - 2019</t>
  </si>
  <si>
    <t>josta hark.var. korotus</t>
  </si>
  <si>
    <t>Poistot</t>
  </si>
  <si>
    <t>Veroprosentti</t>
  </si>
  <si>
    <t>Taseen kertynyt ali-/ylijäämä</t>
  </si>
  <si>
    <t>Suht. velkaantuneisuus-%</t>
  </si>
  <si>
    <t>Harkvar2020</t>
  </si>
  <si>
    <t>Palvelujen ostot 2020</t>
  </si>
  <si>
    <t>2019 - 2020</t>
  </si>
  <si>
    <t xml:space="preserve">KUNTIEN LOPULLISET TP:T 2018-2019 ja TPennakko 2020 </t>
  </si>
  <si>
    <t>Kunnat vuoden 2020 kuntajaolla</t>
  </si>
  <si>
    <t>muutos%</t>
  </si>
  <si>
    <t>Valtiovarainministeriö/Kunta- ja aluehallinto-osasto, 1.6.2021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</si>
</sst>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\ [$€-1]"/>
    <numFmt numFmtId="170" formatCode="\$#,##0\ ;\(\$#,##0\)"/>
    <numFmt numFmtId="171" formatCode="#,##0_ ;[Red]\-#,##0\ "/>
    <numFmt numFmtId="172" formatCode="[$€]#,##0.00_);[Red]\([$€]#,##0.00\)"/>
    <numFmt numFmtId="173" formatCode="#,##0.0_ ;[Red]\-#,##0.0\ "/>
    <numFmt numFmtId="174" formatCode="0.0_ ;[Red]\-0.0\ "/>
    <numFmt numFmtId="175" formatCode="0_ ;[Red]\-0\ "/>
    <numFmt numFmtId="176" formatCode="#,##0.00_ ;[Red]\-#,##0.00\ "/>
  </numFmts>
  <fonts count="3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color theme="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ont="0" applyFill="0" applyAlignment="0" applyProtection="0"/>
    <xf numFmtId="0" fontId="26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1" fontId="0" fillId="0" borderId="0" xfId="0" applyNumberFormat="1"/>
    <xf numFmtId="3" fontId="0" fillId="0" borderId="0" xfId="0" applyNumberForma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4" xfId="0" applyFont="1" applyBorder="1"/>
    <xf numFmtId="3" fontId="1" fillId="0" borderId="0" xfId="0" applyNumberFormat="1" applyFont="1"/>
    <xf numFmtId="0" fontId="4" fillId="0" borderId="7" xfId="0" applyFont="1" applyBorder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Border="1"/>
    <xf numFmtId="0" fontId="0" fillId="0" borderId="2" xfId="0" applyBorder="1"/>
    <xf numFmtId="0" fontId="0" fillId="0" borderId="0" xfId="0" applyBorder="1"/>
    <xf numFmtId="0" fontId="4" fillId="0" borderId="9" xfId="0" applyFont="1" applyBorder="1"/>
    <xf numFmtId="0" fontId="5" fillId="0" borderId="2" xfId="0" applyFont="1" applyBorder="1"/>
    <xf numFmtId="0" fontId="5" fillId="0" borderId="0" xfId="0" applyFont="1" applyBorder="1"/>
    <xf numFmtId="4" fontId="4" fillId="0" borderId="7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5" xfId="0" applyFont="1" applyBorder="1"/>
    <xf numFmtId="4" fontId="4" fillId="0" borderId="8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4" xfId="0" applyFont="1" applyBorder="1"/>
    <xf numFmtId="3" fontId="5" fillId="0" borderId="5" xfId="0" applyNumberFormat="1" applyFont="1" applyBorder="1" applyAlignment="1">
      <alignment horizontal="right"/>
    </xf>
    <xf numFmtId="0" fontId="7" fillId="0" borderId="0" xfId="0" applyFont="1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4" xfId="0" applyBorder="1"/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7" xfId="0" applyFont="1" applyBorder="1"/>
    <xf numFmtId="3" fontId="4" fillId="0" borderId="9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/>
    <xf numFmtId="3" fontId="5" fillId="0" borderId="0" xfId="0" applyNumberFormat="1" applyFont="1"/>
    <xf numFmtId="169" fontId="1" fillId="0" borderId="4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5" fillId="0" borderId="9" xfId="0" applyFont="1" applyBorder="1"/>
    <xf numFmtId="1" fontId="4" fillId="0" borderId="0" xfId="0" applyNumberFormat="1" applyFont="1"/>
    <xf numFmtId="0" fontId="3" fillId="0" borderId="7" xfId="0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14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5" fillId="0" borderId="0" xfId="0" applyFont="1"/>
    <xf numFmtId="1" fontId="5" fillId="0" borderId="0" xfId="0" applyNumberFormat="1" applyFont="1"/>
    <xf numFmtId="0" fontId="14" fillId="0" borderId="0" xfId="0" applyFont="1" applyAlignment="1">
      <alignment horizontal="left"/>
    </xf>
    <xf numFmtId="168" fontId="5" fillId="0" borderId="0" xfId="0" applyNumberFormat="1" applyFont="1"/>
    <xf numFmtId="165" fontId="5" fillId="0" borderId="0" xfId="0" applyNumberFormat="1" applyFont="1"/>
    <xf numFmtId="168" fontId="4" fillId="0" borderId="0" xfId="0" applyNumberFormat="1" applyFont="1"/>
    <xf numFmtId="0" fontId="1" fillId="0" borderId="0" xfId="0" applyFont="1"/>
    <xf numFmtId="0" fontId="17" fillId="0" borderId="0" xfId="0" applyFont="1"/>
    <xf numFmtId="164" fontId="4" fillId="0" borderId="0" xfId="0" applyNumberFormat="1" applyFont="1"/>
    <xf numFmtId="173" fontId="4" fillId="0" borderId="0" xfId="0" applyNumberFormat="1" applyFont="1"/>
    <xf numFmtId="173" fontId="5" fillId="0" borderId="0" xfId="0" applyNumberFormat="1" applyFont="1"/>
    <xf numFmtId="173" fontId="5" fillId="0" borderId="5" xfId="0" applyNumberFormat="1" applyFont="1" applyBorder="1"/>
    <xf numFmtId="0" fontId="18" fillId="0" borderId="5" xfId="0" applyFont="1" applyBorder="1" applyAlignment="1">
      <alignment horizontal="right"/>
    </xf>
    <xf numFmtId="171" fontId="4" fillId="0" borderId="4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5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6" fillId="0" borderId="5" xfId="0" applyNumberFormat="1" applyFont="1" applyBorder="1" applyAlignment="1">
      <alignment horizontal="right"/>
    </xf>
    <xf numFmtId="171" fontId="4" fillId="0" borderId="0" xfId="0" applyNumberFormat="1" applyFont="1" applyBorder="1"/>
    <xf numFmtId="171" fontId="4" fillId="0" borderId="5" xfId="0" applyNumberFormat="1" applyFont="1" applyBorder="1"/>
    <xf numFmtId="171" fontId="4" fillId="0" borderId="6" xfId="0" applyNumberFormat="1" applyFont="1" applyBorder="1" applyAlignment="1">
      <alignment horizontal="right"/>
    </xf>
    <xf numFmtId="171" fontId="4" fillId="0" borderId="7" xfId="0" applyNumberFormat="1" applyFont="1" applyBorder="1"/>
    <xf numFmtId="171" fontId="4" fillId="0" borderId="8" xfId="0" applyNumberFormat="1" applyFont="1" applyBorder="1"/>
    <xf numFmtId="171" fontId="4" fillId="0" borderId="7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173" fontId="4" fillId="0" borderId="0" xfId="0" applyNumberFormat="1" applyFont="1" applyBorder="1"/>
    <xf numFmtId="173" fontId="4" fillId="0" borderId="5" xfId="0" applyNumberFormat="1" applyFont="1" applyBorder="1"/>
    <xf numFmtId="171" fontId="8" fillId="0" borderId="5" xfId="0" applyNumberFormat="1" applyFont="1" applyBorder="1"/>
    <xf numFmtId="171" fontId="6" fillId="0" borderId="5" xfId="0" applyNumberFormat="1" applyFont="1" applyBorder="1"/>
    <xf numFmtId="171" fontId="0" fillId="0" borderId="5" xfId="0" applyNumberFormat="1" applyBorder="1"/>
    <xf numFmtId="2" fontId="4" fillId="0" borderId="0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4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4" fillId="0" borderId="8" xfId="0" applyFont="1" applyBorder="1" applyAlignment="1">
      <alignment horizontal="right"/>
    </xf>
    <xf numFmtId="0" fontId="2" fillId="0" borderId="9" xfId="0" applyFont="1" applyBorder="1"/>
    <xf numFmtId="0" fontId="14" fillId="0" borderId="2" xfId="0" applyFont="1" applyBorder="1"/>
    <xf numFmtId="0" fontId="1" fillId="0" borderId="0" xfId="0" applyFont="1" applyBorder="1"/>
    <xf numFmtId="171" fontId="1" fillId="0" borderId="5" xfId="0" applyNumberFormat="1" applyFont="1" applyBorder="1"/>
    <xf numFmtId="4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5" xfId="0" applyFont="1" applyBorder="1"/>
    <xf numFmtId="4" fontId="5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171" fontId="5" fillId="0" borderId="0" xfId="0" applyNumberFormat="1" applyFont="1"/>
    <xf numFmtId="167" fontId="5" fillId="0" borderId="5" xfId="0" applyNumberFormat="1" applyFont="1" applyBorder="1"/>
    <xf numFmtId="166" fontId="5" fillId="0" borderId="5" xfId="0" applyNumberFormat="1" applyFont="1" applyBorder="1"/>
    <xf numFmtId="167" fontId="5" fillId="0" borderId="8" xfId="0" applyNumberFormat="1" applyFont="1" applyBorder="1"/>
    <xf numFmtId="166" fontId="5" fillId="0" borderId="8" xfId="0" applyNumberFormat="1" applyFont="1" applyBorder="1"/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5" fillId="0" borderId="0" xfId="0" applyFont="1" applyFill="1"/>
    <xf numFmtId="0" fontId="4" fillId="0" borderId="4" xfId="0" applyFont="1" applyFill="1" applyBorder="1"/>
    <xf numFmtId="0" fontId="0" fillId="0" borderId="0" xfId="0" applyFill="1"/>
    <xf numFmtId="0" fontId="0" fillId="0" borderId="5" xfId="0" applyFill="1" applyBorder="1" applyAlignment="1">
      <alignment horizontal="right"/>
    </xf>
    <xf numFmtId="0" fontId="14" fillId="0" borderId="0" xfId="0" applyFont="1" applyFill="1"/>
    <xf numFmtId="0" fontId="3" fillId="0" borderId="0" xfId="0" applyFont="1" applyFill="1"/>
    <xf numFmtId="3" fontId="4" fillId="0" borderId="0" xfId="0" applyNumberFormat="1" applyFont="1" applyFill="1" applyProtection="1">
      <protection locked="0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6" fillId="0" borderId="0" xfId="0" applyFont="1" applyFill="1"/>
    <xf numFmtId="166" fontId="4" fillId="0" borderId="0" xfId="0" applyNumberFormat="1" applyFont="1" applyFill="1"/>
    <xf numFmtId="1" fontId="4" fillId="0" borderId="0" xfId="0" applyNumberFormat="1" applyFont="1" applyFill="1"/>
    <xf numFmtId="1" fontId="6" fillId="0" borderId="0" xfId="0" applyNumberFormat="1" applyFont="1" applyFill="1"/>
    <xf numFmtId="2" fontId="4" fillId="0" borderId="0" xfId="0" applyNumberFormat="1" applyFont="1" applyFill="1"/>
    <xf numFmtId="1" fontId="4" fillId="0" borderId="0" xfId="0" applyNumberFormat="1" applyFont="1" applyFill="1" applyBorder="1"/>
    <xf numFmtId="2" fontId="4" fillId="0" borderId="0" xfId="4" applyNumberFormat="1" applyFont="1" applyFill="1" applyBorder="1" applyAlignment="1">
      <alignment horizontal="right"/>
    </xf>
    <xf numFmtId="0" fontId="4" fillId="3" borderId="0" xfId="0" applyFont="1" applyFill="1"/>
    <xf numFmtId="0" fontId="19" fillId="0" borderId="0" xfId="0" applyFont="1" applyFill="1"/>
    <xf numFmtId="0" fontId="20" fillId="0" borderId="0" xfId="0" applyFont="1" applyFill="1"/>
    <xf numFmtId="3" fontId="20" fillId="0" borderId="0" xfId="0" applyNumberFormat="1" applyFont="1" applyFill="1"/>
    <xf numFmtId="0" fontId="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Border="1"/>
    <xf numFmtId="0" fontId="16" fillId="0" borderId="0" xfId="0" applyFont="1" applyFill="1"/>
    <xf numFmtId="3" fontId="3" fillId="0" borderId="0" xfId="0" applyNumberFormat="1" applyFont="1" applyFill="1"/>
    <xf numFmtId="165" fontId="0" fillId="0" borderId="0" xfId="0" applyNumberFormat="1"/>
    <xf numFmtId="167" fontId="1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0" fontId="6" fillId="0" borderId="0" xfId="0" applyFont="1" applyFill="1" applyBorder="1"/>
    <xf numFmtId="167" fontId="5" fillId="0" borderId="0" xfId="0" applyNumberFormat="1" applyFont="1"/>
    <xf numFmtId="0" fontId="1" fillId="0" borderId="0" xfId="0" applyFont="1" applyFill="1"/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" fontId="3" fillId="0" borderId="0" xfId="0" applyNumberFormat="1" applyFont="1"/>
    <xf numFmtId="3" fontId="5" fillId="0" borderId="0" xfId="0" applyNumberFormat="1" applyFont="1" applyFill="1"/>
    <xf numFmtId="0" fontId="2" fillId="0" borderId="4" xfId="0" applyFont="1" applyBorder="1" applyAlignment="1">
      <alignment horizontal="right"/>
    </xf>
    <xf numFmtId="0" fontId="5" fillId="4" borderId="0" xfId="0" applyFont="1" applyFill="1"/>
    <xf numFmtId="0" fontId="4" fillId="4" borderId="0" xfId="0" applyFont="1" applyFill="1"/>
    <xf numFmtId="171" fontId="4" fillId="0" borderId="0" xfId="0" applyNumberFormat="1" applyFont="1"/>
    <xf numFmtId="173" fontId="5" fillId="0" borderId="5" xfId="0" applyNumberFormat="1" applyFont="1" applyBorder="1" applyAlignment="1">
      <alignment horizontal="right"/>
    </xf>
    <xf numFmtId="174" fontId="5" fillId="0" borderId="5" xfId="0" applyNumberFormat="1" applyFont="1" applyBorder="1"/>
    <xf numFmtId="171" fontId="4" fillId="0" borderId="0" xfId="0" applyNumberFormat="1" applyFont="1" applyFill="1"/>
    <xf numFmtId="171" fontId="4" fillId="0" borderId="0" xfId="0" applyNumberFormat="1" applyFont="1" applyFill="1" applyProtection="1">
      <protection locked="0"/>
    </xf>
    <xf numFmtId="3" fontId="4" fillId="0" borderId="0" xfId="0" applyNumberFormat="1" applyFont="1" applyAlignment="1">
      <alignment horizontal="center"/>
    </xf>
    <xf numFmtId="0" fontId="0" fillId="0" borderId="0" xfId="0" quotePrefix="1"/>
    <xf numFmtId="0" fontId="17" fillId="0" borderId="9" xfId="0" applyFont="1" applyBorder="1"/>
    <xf numFmtId="171" fontId="1" fillId="0" borderId="0" xfId="0" applyNumberFormat="1" applyFont="1"/>
    <xf numFmtId="4" fontId="4" fillId="0" borderId="0" xfId="0" applyNumberFormat="1" applyFont="1"/>
    <xf numFmtId="171" fontId="6" fillId="0" borderId="0" xfId="0" applyNumberFormat="1" applyFont="1"/>
    <xf numFmtId="0" fontId="22" fillId="0" borderId="6" xfId="0" applyFont="1" applyBorder="1"/>
    <xf numFmtId="0" fontId="17" fillId="0" borderId="0" xfId="0" applyFont="1" applyAlignment="1">
      <alignment horizontal="left"/>
    </xf>
    <xf numFmtId="171" fontId="0" fillId="0" borderId="0" xfId="0" applyNumberFormat="1"/>
    <xf numFmtId="171" fontId="7" fillId="0" borderId="0" xfId="0" applyNumberFormat="1" applyFont="1"/>
    <xf numFmtId="3" fontId="3" fillId="0" borderId="0" xfId="0" applyNumberFormat="1" applyFont="1"/>
    <xf numFmtId="0" fontId="23" fillId="0" borderId="0" xfId="0" applyFont="1" applyFill="1"/>
    <xf numFmtId="171" fontId="23" fillId="0" borderId="0" xfId="0" applyNumberFormat="1" applyFont="1" applyFill="1"/>
    <xf numFmtId="171" fontId="4" fillId="0" borderId="0" xfId="0" applyNumberFormat="1" applyFont="1" applyFill="1" applyAlignment="1" applyProtection="1">
      <alignment horizontal="left"/>
      <protection locked="0"/>
    </xf>
    <xf numFmtId="49" fontId="18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25" fillId="0" borderId="5" xfId="0" applyFont="1" applyBorder="1" applyAlignment="1">
      <alignment horizontal="right"/>
    </xf>
    <xf numFmtId="171" fontId="25" fillId="0" borderId="4" xfId="0" applyNumberFormat="1" applyFont="1" applyBorder="1" applyAlignment="1">
      <alignment horizontal="left"/>
    </xf>
    <xf numFmtId="171" fontId="25" fillId="0" borderId="0" xfId="0" applyNumberFormat="1" applyFont="1" applyBorder="1" applyAlignment="1">
      <alignment horizontal="right"/>
    </xf>
    <xf numFmtId="171" fontId="25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27" fillId="0" borderId="10" xfId="9" applyFont="1" applyFill="1" applyBorder="1" applyAlignment="1"/>
    <xf numFmtId="0" fontId="4" fillId="0" borderId="10" xfId="9" applyFont="1" applyFill="1" applyBorder="1" applyAlignment="1"/>
    <xf numFmtId="174" fontId="4" fillId="0" borderId="0" xfId="0" applyNumberFormat="1" applyFont="1"/>
    <xf numFmtId="175" fontId="4" fillId="0" borderId="0" xfId="0" applyNumberFormat="1" applyFont="1"/>
    <xf numFmtId="4" fontId="28" fillId="0" borderId="11" xfId="9" applyNumberFormat="1" applyFont="1" applyFill="1" applyBorder="1" applyAlignment="1"/>
    <xf numFmtId="4" fontId="4" fillId="0" borderId="11" xfId="9" applyNumberFormat="1" applyFont="1" applyFill="1" applyBorder="1" applyAlignment="1"/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28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3" fillId="0" borderId="0" xfId="0" applyFont="1"/>
    <xf numFmtId="171" fontId="3" fillId="0" borderId="0" xfId="0" applyNumberFormat="1" applyFont="1" applyAlignment="1">
      <alignment horizontal="center"/>
    </xf>
    <xf numFmtId="171" fontId="3" fillId="0" borderId="0" xfId="0" applyNumberFormat="1" applyFont="1"/>
    <xf numFmtId="17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4" fillId="0" borderId="0" xfId="0" applyNumberFormat="1" applyFont="1" applyFill="1"/>
    <xf numFmtId="4" fontId="4" fillId="0" borderId="0" xfId="0" applyNumberFormat="1" applyFont="1" applyFill="1"/>
    <xf numFmtId="171" fontId="29" fillId="0" borderId="0" xfId="0" applyNumberFormat="1" applyFont="1" applyFill="1" applyBorder="1"/>
    <xf numFmtId="171" fontId="3" fillId="0" borderId="0" xfId="0" applyNumberFormat="1" applyFont="1" applyFill="1"/>
    <xf numFmtId="3" fontId="4" fillId="4" borderId="0" xfId="0" applyNumberFormat="1" applyFont="1" applyFill="1"/>
    <xf numFmtId="0" fontId="28" fillId="0" borderId="0" xfId="0" applyFont="1" applyFill="1" applyBorder="1"/>
    <xf numFmtId="0" fontId="29" fillId="0" borderId="0" xfId="0" applyFont="1" applyFill="1" applyBorder="1"/>
    <xf numFmtId="0" fontId="5" fillId="2" borderId="7" xfId="0" applyFont="1" applyFill="1" applyBorder="1" applyAlignment="1">
      <alignment horizontal="right" vertical="center"/>
    </xf>
    <xf numFmtId="166" fontId="4" fillId="0" borderId="0" xfId="0" applyNumberFormat="1" applyFont="1"/>
  </cellXfs>
  <cellStyles count="10">
    <cellStyle name="Comma0" xfId="1"/>
    <cellStyle name="Currency0" xfId="2"/>
    <cellStyle name="Date" xfId="3"/>
    <cellStyle name="Euro" xfId="4"/>
    <cellStyle name="Fixed" xfId="5"/>
    <cellStyle name="Heading 1" xfId="6"/>
    <cellStyle name="Heading 2" xfId="7"/>
    <cellStyle name="Normaali" xfId="0" builtinId="0"/>
    <cellStyle name="Normaali_Taul3" xfId="9"/>
    <cellStyle name="Total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15" fmlaLink="$A$7" fmlaRange="Luvut!$B$3:$B$297" noThreeD="1" sel="96" val="8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0</xdr:row>
          <xdr:rowOff>76200</xdr:rowOff>
        </xdr:from>
        <xdr:to>
          <xdr:col>10</xdr:col>
          <xdr:colOff>488950</xdr:colOff>
          <xdr:row>1</xdr:row>
          <xdr:rowOff>285750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A1:V90"/>
  <sheetViews>
    <sheetView tabSelected="1" workbookViewId="0">
      <pane ySplit="4" topLeftCell="A5" activePane="bottomLeft" state="frozen"/>
      <selection pane="bottomLeft" activeCell="N2" sqref="N2"/>
    </sheetView>
  </sheetViews>
  <sheetFormatPr defaultRowHeight="12.5" x14ac:dyDescent="0.25"/>
  <cols>
    <col min="1" max="1" width="14.453125" customWidth="1"/>
    <col min="2" max="2" width="10.54296875" customWidth="1"/>
    <col min="3" max="3" width="7.1796875" style="13" customWidth="1"/>
    <col min="4" max="4" width="9.54296875" bestFit="1" customWidth="1"/>
    <col min="5" max="5" width="8.54296875" customWidth="1"/>
    <col min="6" max="6" width="3.7265625" customWidth="1"/>
    <col min="7" max="7" width="10.81640625" customWidth="1"/>
    <col min="8" max="8" width="8.54296875" customWidth="1"/>
    <col min="9" max="9" width="7.7265625" customWidth="1"/>
    <col min="10" max="10" width="10.453125" bestFit="1" customWidth="1"/>
    <col min="11" max="11" width="8" customWidth="1"/>
    <col min="12" max="12" width="7.81640625" customWidth="1"/>
    <col min="13" max="13" width="9" customWidth="1"/>
    <col min="14" max="14" width="14.7265625" style="158" bestFit="1" customWidth="1"/>
    <col min="15" max="15" width="14.26953125" style="158" customWidth="1"/>
    <col min="16" max="16" width="14.7265625" bestFit="1" customWidth="1"/>
    <col min="17" max="17" width="29.7265625" customWidth="1"/>
    <col min="18" max="18" width="12.7265625" bestFit="1" customWidth="1"/>
    <col min="19" max="19" width="11.26953125" bestFit="1" customWidth="1"/>
    <col min="20" max="20" width="10.453125" bestFit="1" customWidth="1"/>
    <col min="21" max="22" width="9.26953125" bestFit="1" customWidth="1"/>
  </cols>
  <sheetData>
    <row r="1" spans="1:20" x14ac:dyDescent="0.25">
      <c r="A1" s="187" t="s">
        <v>408</v>
      </c>
      <c r="B1" s="31"/>
      <c r="C1" s="66"/>
      <c r="D1" s="31"/>
      <c r="E1" s="117"/>
      <c r="F1" s="31"/>
      <c r="G1" s="67"/>
      <c r="H1" s="67"/>
      <c r="I1" s="67"/>
      <c r="J1" s="67"/>
      <c r="K1" s="67"/>
      <c r="L1" s="68"/>
    </row>
    <row r="2" spans="1:20" ht="24" customHeight="1" thickBot="1" x14ac:dyDescent="0.35">
      <c r="A2" s="191" t="s">
        <v>405</v>
      </c>
      <c r="B2" s="55"/>
      <c r="C2" s="64"/>
      <c r="D2" s="55"/>
      <c r="E2" s="55"/>
      <c r="F2" s="55"/>
      <c r="G2" s="231" t="s">
        <v>326</v>
      </c>
      <c r="H2" s="231"/>
      <c r="I2" s="69"/>
      <c r="J2" s="69"/>
      <c r="K2" s="69"/>
      <c r="L2" s="70"/>
      <c r="M2" s="81"/>
    </row>
    <row r="3" spans="1:20" s="3" customFormat="1" ht="8.25" customHeight="1" x14ac:dyDescent="0.25">
      <c r="A3" s="62"/>
      <c r="B3" s="17"/>
      <c r="C3" s="18"/>
      <c r="D3" s="33"/>
      <c r="E3" s="34"/>
      <c r="F3" s="37"/>
      <c r="G3" s="17"/>
      <c r="H3" s="17" t="s">
        <v>311</v>
      </c>
      <c r="I3" s="20"/>
      <c r="J3" s="33"/>
      <c r="K3" s="17"/>
      <c r="L3" s="20"/>
      <c r="M3" s="4"/>
      <c r="N3" s="159"/>
      <c r="O3" s="159"/>
    </row>
    <row r="4" spans="1:20" s="3" customFormat="1" ht="15.5" x14ac:dyDescent="0.35">
      <c r="A4" s="26" t="str">
        <f>INDEX(Luvut!$B$3:'Luvut'!$B$297,$A$7)</f>
        <v>KOKO MAA (Manner-Suomi)</v>
      </c>
      <c r="B4" s="11"/>
      <c r="C4" s="14"/>
      <c r="D4" s="57">
        <v>2018</v>
      </c>
      <c r="E4" s="35"/>
      <c r="F4" s="38"/>
      <c r="G4" s="58">
        <v>2019</v>
      </c>
      <c r="H4" s="11"/>
      <c r="I4" s="22"/>
      <c r="J4" s="177">
        <v>2020</v>
      </c>
      <c r="K4" s="11"/>
      <c r="L4" s="22"/>
      <c r="M4" s="82"/>
      <c r="N4" s="192"/>
      <c r="O4" s="160"/>
    </row>
    <row r="5" spans="1:20" s="3" customFormat="1" ht="10.5" x14ac:dyDescent="0.25">
      <c r="A5" s="21"/>
      <c r="B5" s="11"/>
      <c r="C5" s="14"/>
      <c r="D5" s="21"/>
      <c r="E5" s="35"/>
      <c r="F5" s="38"/>
      <c r="G5" s="11"/>
      <c r="H5" s="11"/>
      <c r="I5" s="22"/>
      <c r="J5" s="21"/>
      <c r="K5" s="11"/>
      <c r="L5" s="22"/>
      <c r="N5" s="159"/>
      <c r="O5" s="159"/>
    </row>
    <row r="6" spans="1:20" s="3" customFormat="1" ht="14" x14ac:dyDescent="0.3">
      <c r="A6" s="21" t="s">
        <v>1</v>
      </c>
      <c r="B6" s="11"/>
      <c r="C6" s="11"/>
      <c r="D6" s="51">
        <f>VLOOKUP($A$4,Luvut!$B$3:$AT$297,2)</f>
        <v>5488130</v>
      </c>
      <c r="E6" s="11"/>
      <c r="F6" s="22"/>
      <c r="G6" s="12">
        <f>VLOOKUP($A$4,Luvut!$B$3:$ED$297,46)</f>
        <v>5495408</v>
      </c>
      <c r="H6" s="11" t="s">
        <v>311</v>
      </c>
      <c r="I6" s="86">
        <f>((G6/D6)-1)*100</f>
        <v>0.13261347672157697</v>
      </c>
      <c r="J6" s="51">
        <f>VLOOKUP($A$4,Luvut!$B$3:$ED$297,90)</f>
        <v>5503664</v>
      </c>
      <c r="K6" s="11" t="s">
        <v>311</v>
      </c>
      <c r="L6" s="182">
        <f>((J6/G6)-1)*100</f>
        <v>0.15023452307818541</v>
      </c>
      <c r="M6" s="83"/>
      <c r="N6" s="161"/>
      <c r="O6" s="161"/>
      <c r="Q6" s="218" t="s">
        <v>0</v>
      </c>
    </row>
    <row r="7" spans="1:20" s="3" customFormat="1" ht="13.5" thickBot="1" x14ac:dyDescent="0.35">
      <c r="A7" s="65">
        <v>96</v>
      </c>
      <c r="B7" s="24"/>
      <c r="C7" s="28"/>
      <c r="D7" s="52" t="s">
        <v>311</v>
      </c>
      <c r="E7" s="36"/>
      <c r="F7" s="39"/>
      <c r="G7" s="24"/>
      <c r="H7" s="24"/>
      <c r="I7" s="128"/>
      <c r="J7" s="23"/>
      <c r="K7" s="24"/>
      <c r="L7" s="129"/>
      <c r="N7" s="161"/>
      <c r="O7" s="161"/>
      <c r="R7" s="223">
        <v>2018</v>
      </c>
      <c r="S7" s="223">
        <v>2019</v>
      </c>
      <c r="T7" s="223">
        <v>2020</v>
      </c>
    </row>
    <row r="8" spans="1:20" ht="15.5" x14ac:dyDescent="0.35">
      <c r="A8" s="116" t="s">
        <v>308</v>
      </c>
      <c r="B8" s="17"/>
      <c r="C8" s="18"/>
      <c r="D8" s="56" t="s">
        <v>311</v>
      </c>
      <c r="E8" s="19"/>
      <c r="F8" s="40"/>
      <c r="G8" s="17"/>
      <c r="H8" s="17"/>
      <c r="I8" s="126"/>
      <c r="J8" s="33"/>
      <c r="K8" s="17"/>
      <c r="L8" s="127"/>
      <c r="O8" s="161"/>
      <c r="Q8" t="s">
        <v>293</v>
      </c>
      <c r="R8" s="219">
        <f>D36</f>
        <v>2065203</v>
      </c>
      <c r="S8" s="219">
        <f>G36</f>
        <v>1747616</v>
      </c>
      <c r="T8" s="219">
        <f>J36</f>
        <v>4072987</v>
      </c>
    </row>
    <row r="9" spans="1:20" ht="13" x14ac:dyDescent="0.3">
      <c r="A9" s="26"/>
      <c r="B9" s="11"/>
      <c r="C9" s="14"/>
      <c r="D9" s="51" t="s">
        <v>311</v>
      </c>
      <c r="E9" s="12" t="s">
        <v>311</v>
      </c>
      <c r="F9" s="41" t="s">
        <v>311</v>
      </c>
      <c r="G9" s="12" t="s">
        <v>311</v>
      </c>
      <c r="H9" s="11"/>
      <c r="I9" s="87" t="s">
        <v>407</v>
      </c>
      <c r="J9" s="51" t="s">
        <v>311</v>
      </c>
      <c r="K9" s="11"/>
      <c r="L9" s="87" t="s">
        <v>407</v>
      </c>
      <c r="N9" s="206" t="s">
        <v>388</v>
      </c>
      <c r="O9" s="206" t="s">
        <v>388</v>
      </c>
      <c r="P9" s="206" t="s">
        <v>388</v>
      </c>
      <c r="Q9" s="217" t="s">
        <v>398</v>
      </c>
      <c r="R9" s="219">
        <f>D38</f>
        <v>2192453</v>
      </c>
      <c r="S9" s="219">
        <f>G38</f>
        <v>2305725</v>
      </c>
      <c r="T9" s="219">
        <f>J38</f>
        <v>2397525</v>
      </c>
    </row>
    <row r="10" spans="1:20" s="3" customFormat="1" x14ac:dyDescent="0.25">
      <c r="A10" s="21" t="s">
        <v>320</v>
      </c>
      <c r="B10" s="11"/>
      <c r="C10" s="11"/>
      <c r="D10" s="88">
        <f>E67</f>
        <v>3048.3937151634527</v>
      </c>
      <c r="E10" s="89" t="s">
        <v>311</v>
      </c>
      <c r="F10" s="90"/>
      <c r="G10" s="89">
        <f>H67</f>
        <v>3351.8961649435309</v>
      </c>
      <c r="H10" s="95"/>
      <c r="I10" s="181">
        <f>((G10/D10)-1)*100</f>
        <v>9.9561434033400342</v>
      </c>
      <c r="J10" s="88">
        <f>K67</f>
        <v>3458.3115902424274</v>
      </c>
      <c r="K10" s="11"/>
      <c r="L10" s="182">
        <f>((J10/G10)-1)*100</f>
        <v>3.1747828710168013</v>
      </c>
      <c r="N10" s="185">
        <v>2018</v>
      </c>
      <c r="O10" s="185">
        <v>2019</v>
      </c>
      <c r="P10" s="185">
        <v>2020</v>
      </c>
      <c r="Q10" s="2" t="s">
        <v>294</v>
      </c>
      <c r="R10" s="219">
        <f>D41</f>
        <v>-107421</v>
      </c>
      <c r="S10" s="219">
        <f>G41</f>
        <v>-164092</v>
      </c>
      <c r="T10" s="219">
        <f>J41</f>
        <v>1756706</v>
      </c>
    </row>
    <row r="11" spans="1:20" s="3" customFormat="1" x14ac:dyDescent="0.25">
      <c r="A11" s="21" t="s">
        <v>361</v>
      </c>
      <c r="B11" s="11"/>
      <c r="C11" s="11"/>
      <c r="D11" s="88">
        <f>VLOOKUP($A$4,Luvut!$B$3:$FM$297,167)</f>
        <v>6557.6436782656392</v>
      </c>
      <c r="E11" s="89"/>
      <c r="F11" s="90"/>
      <c r="G11" s="89">
        <f>VLOOKUP($A$4,Luvut!$B$3:$FM$297,168)</f>
        <v>7105.3242998518035</v>
      </c>
      <c r="H11" s="89"/>
      <c r="I11" s="181">
        <f>((G11/D11)-1)*100</f>
        <v>8.3517898875989935</v>
      </c>
      <c r="J11" s="89">
        <f>VLOOKUP($A$4,Luvut!$B$3:$FN$297,169)</f>
        <v>7480.9228906415792</v>
      </c>
      <c r="K11" s="199"/>
      <c r="L11" s="182">
        <f>((J11/G11)-1)*100</f>
        <v>5.2861569006443565</v>
      </c>
      <c r="N11" s="185">
        <f>D11*D6</f>
        <v>35989201000</v>
      </c>
      <c r="O11" s="185">
        <f>G11*G6</f>
        <v>39046656000</v>
      </c>
      <c r="P11" s="185">
        <f>J11*J6</f>
        <v>41172486000</v>
      </c>
      <c r="Q11" s="195" t="s">
        <v>400</v>
      </c>
      <c r="R11" s="219">
        <f>D47</f>
        <v>11261407</v>
      </c>
      <c r="S11" s="219">
        <f>G47</f>
        <v>11087957</v>
      </c>
      <c r="T11" s="219">
        <f>J47</f>
        <v>12581318</v>
      </c>
    </row>
    <row r="12" spans="1:20" s="3" customFormat="1" x14ac:dyDescent="0.25">
      <c r="A12" s="21" t="s">
        <v>306</v>
      </c>
      <c r="B12" s="11"/>
      <c r="C12" s="11"/>
      <c r="D12" s="101">
        <f>VLOOKUP($A$4,Luvut!$B$3:$AT$297,4)</f>
        <v>1.1218667063571479</v>
      </c>
      <c r="E12" s="102" t="s">
        <v>311</v>
      </c>
      <c r="F12" s="103"/>
      <c r="G12" s="102">
        <f>VLOOKUP($A$4,Luvut!$B$3:$ED$297,48)</f>
        <v>0.7093755419490988</v>
      </c>
      <c r="H12" s="104"/>
      <c r="I12" s="105"/>
      <c r="J12" s="101">
        <f>VLOOKUP($A$4,Luvut!$B$3:$ED$297,92)</f>
        <v>1.9886386140704735</v>
      </c>
      <c r="K12" s="11"/>
      <c r="L12" s="22"/>
      <c r="N12" s="159"/>
      <c r="O12" s="161"/>
      <c r="Q12" s="2" t="s">
        <v>333</v>
      </c>
      <c r="R12" s="219">
        <f>D60</f>
        <v>-1214884</v>
      </c>
      <c r="S12" s="219">
        <f>G60</f>
        <v>-1434149</v>
      </c>
      <c r="T12" s="219">
        <f>J60</f>
        <v>381794</v>
      </c>
    </row>
    <row r="13" spans="1:20" s="3" customFormat="1" x14ac:dyDescent="0.25">
      <c r="A13" s="21" t="s">
        <v>386</v>
      </c>
      <c r="B13" s="11"/>
      <c r="C13" s="11"/>
      <c r="D13" s="101">
        <f>VLOOKUP($A$4,Luvut!$B$3:$AT$297,5)</f>
        <v>58.68132053012561</v>
      </c>
      <c r="E13" s="102" t="s">
        <v>311</v>
      </c>
      <c r="F13" s="103"/>
      <c r="G13" s="102">
        <f>VLOOKUP($A$4,Luvut!$B$3:$ED$297,49)</f>
        <v>62.067154779893912</v>
      </c>
      <c r="H13" s="104"/>
      <c r="I13" s="105"/>
      <c r="J13" s="101">
        <f>VLOOKUP($A$4,Luvut!$B$3:$ED$297,93)</f>
        <v>59.956439650633136</v>
      </c>
      <c r="K13" s="11"/>
      <c r="L13" s="22"/>
      <c r="N13" s="159"/>
      <c r="O13" s="161"/>
      <c r="Q13" s="195" t="s">
        <v>342</v>
      </c>
      <c r="R13" s="219">
        <f>D67</f>
        <v>16729981</v>
      </c>
      <c r="S13" s="219">
        <f>G67</f>
        <v>18420037</v>
      </c>
      <c r="T13" s="219">
        <f>J67</f>
        <v>19033385</v>
      </c>
    </row>
    <row r="14" spans="1:20" s="3" customFormat="1" x14ac:dyDescent="0.25">
      <c r="A14" s="21" t="s">
        <v>321</v>
      </c>
      <c r="B14" s="11"/>
      <c r="C14" s="11"/>
      <c r="D14" s="88">
        <f>VLOOKUP($A$4,Luvut!$B$3:$AT$297,6)</f>
        <v>-2782.6265048386244</v>
      </c>
      <c r="E14" s="89" t="s">
        <v>311</v>
      </c>
      <c r="F14" s="90"/>
      <c r="G14" s="89">
        <f>VLOOKUP($A$4,Luvut!$B$3:$ED$297,50)</f>
        <v>-3029.5543115270057</v>
      </c>
      <c r="H14" s="95"/>
      <c r="I14" s="96"/>
      <c r="J14" s="88">
        <f>VLOOKUP($A$4,Luvut!$B$3:$ED$297,94)</f>
        <v>-2940.7692766128166</v>
      </c>
      <c r="K14" s="11"/>
      <c r="L14" s="22"/>
      <c r="N14" s="159"/>
      <c r="O14" s="161"/>
      <c r="Q14" s="195" t="s">
        <v>306</v>
      </c>
      <c r="R14" s="221">
        <f>D12</f>
        <v>1.1218667063571479</v>
      </c>
      <c r="S14" s="221">
        <f>G12</f>
        <v>0.7093755419490988</v>
      </c>
      <c r="T14" s="221">
        <f>J12</f>
        <v>1.9886386140704735</v>
      </c>
    </row>
    <row r="15" spans="1:20" s="3" customFormat="1" x14ac:dyDescent="0.25">
      <c r="A15" s="21" t="s">
        <v>328</v>
      </c>
      <c r="B15" s="11"/>
      <c r="C15" s="11"/>
      <c r="D15" s="101">
        <f>VLOOKUP($A$4,Luvut!$B$3:$AT$297,10)</f>
        <v>59.513878587260145</v>
      </c>
      <c r="E15" s="102"/>
      <c r="F15" s="103"/>
      <c r="G15" s="102">
        <f>VLOOKUP($A$4,Luvut!$B$3:$ED$297,54)</f>
        <v>57.827627708032679</v>
      </c>
      <c r="H15" s="104"/>
      <c r="I15" s="105"/>
      <c r="J15" s="101">
        <f>VLOOKUP($A$4,Luvut!$B$3:$ED$297,98)</f>
        <v>57.958734458090227</v>
      </c>
      <c r="K15" s="11"/>
      <c r="L15" s="22"/>
      <c r="N15" s="159"/>
      <c r="O15" s="161"/>
      <c r="Q15" s="2" t="s">
        <v>399</v>
      </c>
      <c r="R15" s="222">
        <f>D72</f>
        <v>19.87</v>
      </c>
      <c r="S15" s="222">
        <f>G72</f>
        <v>19.899999999999999</v>
      </c>
      <c r="T15" s="222">
        <f>J72</f>
        <v>19.98</v>
      </c>
    </row>
    <row r="16" spans="1:20" s="3" customFormat="1" x14ac:dyDescent="0.25">
      <c r="A16" s="21"/>
      <c r="B16" s="11"/>
      <c r="C16" s="11"/>
      <c r="D16" s="88" t="s">
        <v>311</v>
      </c>
      <c r="E16" s="89" t="s">
        <v>311</v>
      </c>
      <c r="F16" s="90"/>
      <c r="G16" s="89" t="s">
        <v>311</v>
      </c>
      <c r="H16" s="95"/>
      <c r="I16" s="96"/>
      <c r="J16" s="88"/>
      <c r="K16" s="11"/>
      <c r="L16" s="22"/>
      <c r="N16" s="159"/>
      <c r="O16" s="161"/>
      <c r="R16" s="2"/>
      <c r="S16" s="2"/>
      <c r="T16" s="2"/>
    </row>
    <row r="17" spans="1:22" s="3" customFormat="1" x14ac:dyDescent="0.25">
      <c r="A17" s="21" t="s">
        <v>358</v>
      </c>
      <c r="B17" s="11"/>
      <c r="C17" s="14"/>
      <c r="D17" s="88">
        <f>VLOOKUP($A$4,Luvut!$B$3:$AT$297,11)</f>
        <v>888.60504397672787</v>
      </c>
      <c r="E17" s="95"/>
      <c r="F17" s="96"/>
      <c r="G17" s="89">
        <f>VLOOKUP($A$4,Luvut!$B$3:$ED$297,55)</f>
        <v>920.93598873823385</v>
      </c>
      <c r="H17" s="95" t="s">
        <v>311</v>
      </c>
      <c r="I17" s="96"/>
      <c r="J17" s="88">
        <f>VLOOKUP($A$4,Luvut!$B$3:$ED$297,99)</f>
        <v>1172.7709031656002</v>
      </c>
      <c r="K17" s="30" t="s">
        <v>311</v>
      </c>
      <c r="L17" s="22"/>
      <c r="M17" s="63"/>
      <c r="N17" s="159"/>
      <c r="O17" s="161"/>
      <c r="Q17" s="2" t="s">
        <v>1</v>
      </c>
      <c r="R17" s="195">
        <f>D6</f>
        <v>5488130</v>
      </c>
      <c r="S17" s="220">
        <f>G6</f>
        <v>5495408</v>
      </c>
      <c r="T17" s="195">
        <f>J6</f>
        <v>5503664</v>
      </c>
    </row>
    <row r="18" spans="1:22" s="3" customFormat="1" ht="10" x14ac:dyDescent="0.2">
      <c r="A18" s="21" t="s">
        <v>305</v>
      </c>
      <c r="B18" s="11"/>
      <c r="C18" s="14"/>
      <c r="D18" s="88">
        <f>VLOOKUP($A$4,Luvut!$B$3:$AT$297,12)</f>
        <v>41.798853510929341</v>
      </c>
      <c r="E18" s="95"/>
      <c r="F18" s="96"/>
      <c r="G18" s="89">
        <f>VLOOKUP($A$4,Luvut!$B$3:$ED$297,56)</f>
        <v>41.948926141035116</v>
      </c>
      <c r="H18" s="95"/>
      <c r="I18" s="96"/>
      <c r="J18" s="88">
        <f>VLOOKUP($A$4,Luvut!$B$3:$ED$297,100)</f>
        <v>52.565908978586457</v>
      </c>
      <c r="K18" s="11"/>
      <c r="L18" s="22"/>
      <c r="N18" s="159"/>
      <c r="O18" s="161"/>
    </row>
    <row r="19" spans="1:22" s="3" customFormat="1" ht="10.5" thickBot="1" x14ac:dyDescent="0.25">
      <c r="A19" s="23" t="s">
        <v>322</v>
      </c>
      <c r="B19" s="24"/>
      <c r="C19" s="28"/>
      <c r="D19" s="97">
        <f>VLOOKUP($A$4,Luvut!$B$3:$AT$297,13)</f>
        <v>7759.5630934398414</v>
      </c>
      <c r="E19" s="98"/>
      <c r="F19" s="99"/>
      <c r="G19" s="100">
        <f>VLOOKUP($A$4,Luvut!$B$3:$ED$297,57)</f>
        <v>8013.1165875218003</v>
      </c>
      <c r="H19" s="98"/>
      <c r="I19" s="99"/>
      <c r="J19" s="97">
        <f>VLOOKUP($A$4,Luvut!$B$3:$ED$297,101)</f>
        <v>8143.3268818736024</v>
      </c>
      <c r="K19" s="24"/>
      <c r="L19" s="25" t="s">
        <v>311</v>
      </c>
      <c r="N19" s="162" t="s">
        <v>396</v>
      </c>
      <c r="O19" s="162" t="s">
        <v>404</v>
      </c>
    </row>
    <row r="20" spans="1:22" ht="15.5" x14ac:dyDescent="0.35">
      <c r="A20" s="57" t="s">
        <v>299</v>
      </c>
      <c r="B20" s="11"/>
      <c r="C20" s="42"/>
      <c r="D20" s="60">
        <v>1000</v>
      </c>
      <c r="E20" s="43" t="s">
        <v>323</v>
      </c>
      <c r="F20" s="44"/>
      <c r="G20" s="61">
        <v>1000</v>
      </c>
      <c r="H20" s="43" t="s">
        <v>323</v>
      </c>
      <c r="I20" s="87" t="s">
        <v>341</v>
      </c>
      <c r="J20" s="60">
        <v>1000</v>
      </c>
      <c r="K20" s="43" t="s">
        <v>323</v>
      </c>
      <c r="L20" s="87" t="s">
        <v>341</v>
      </c>
      <c r="M20" s="59"/>
      <c r="N20" s="162" t="s">
        <v>372</v>
      </c>
      <c r="O20" s="162" t="s">
        <v>372</v>
      </c>
      <c r="Q20" s="3"/>
    </row>
    <row r="21" spans="1:22" ht="13" x14ac:dyDescent="0.3">
      <c r="A21" s="26"/>
      <c r="B21" s="11"/>
      <c r="C21" s="42"/>
      <c r="D21" s="60"/>
      <c r="E21" s="43"/>
      <c r="F21" s="44"/>
      <c r="G21" s="61"/>
      <c r="H21" s="43"/>
      <c r="I21" s="49"/>
      <c r="J21" s="60"/>
      <c r="K21" s="43"/>
      <c r="L21" s="49"/>
      <c r="M21" s="59"/>
      <c r="O21" s="162"/>
      <c r="R21" s="16"/>
    </row>
    <row r="22" spans="1:22" s="4" customFormat="1" x14ac:dyDescent="0.25">
      <c r="A22" s="45" t="s">
        <v>331</v>
      </c>
      <c r="B22" s="11"/>
      <c r="C22" s="42"/>
      <c r="D22" s="88">
        <f>VLOOKUP($A$4,Luvut!$B$3:$AX$297,14)</f>
        <v>13574638</v>
      </c>
      <c r="E22" s="89">
        <f>D22*1000/$D$6</f>
        <v>2473.4541638044288</v>
      </c>
      <c r="F22" s="94"/>
      <c r="G22" s="89">
        <f>VLOOKUP($A$4,Luvut!$B$3:$ED$297,58)</f>
        <v>13513374</v>
      </c>
      <c r="H22" s="89">
        <f>G22*1000/$G$6</f>
        <v>2459.0301575424428</v>
      </c>
      <c r="I22" s="86">
        <f>((G22/D22)-1)*100</f>
        <v>-0.45131221915457598</v>
      </c>
      <c r="J22" s="88">
        <f>VLOOKUP($A$4,Luvut!$B$3:$ED$297,102)</f>
        <v>13613209</v>
      </c>
      <c r="K22" s="89">
        <f>J22*1000/$J$6</f>
        <v>2473.4811209405225</v>
      </c>
      <c r="L22" s="86">
        <f>((J22/G22)-1)*100</f>
        <v>0.73878662723314559</v>
      </c>
      <c r="M22" s="3"/>
      <c r="N22" s="162">
        <f>((H22/E22)-1)*100</f>
        <v>-0.58315235726060788</v>
      </c>
      <c r="O22" s="162">
        <f>((K22/H22)-1)*100</f>
        <v>0.5876692221018498</v>
      </c>
      <c r="Q22"/>
    </row>
    <row r="23" spans="1:22" s="4" customFormat="1" ht="10.5" x14ac:dyDescent="0.25">
      <c r="A23" s="45" t="s">
        <v>330</v>
      </c>
      <c r="B23" s="11"/>
      <c r="C23" s="42"/>
      <c r="D23" s="88">
        <f>VLOOKUP($A$4,Luvut!$B$3:$EF$297,134)</f>
        <v>18314272</v>
      </c>
      <c r="E23" s="89">
        <f>D23*1000/$D$6</f>
        <v>3337.0696393853646</v>
      </c>
      <c r="F23" s="94"/>
      <c r="G23" s="89">
        <f>VLOOKUP($A$4,Luvut!$B$3:$EF$297,135)</f>
        <v>19288076</v>
      </c>
      <c r="H23" s="89">
        <f>G23*1000/$G$6</f>
        <v>3509.8533175334751</v>
      </c>
      <c r="I23" s="86">
        <f t="shared" ref="I23:I53" si="0">((G23/D23)-1)*100</f>
        <v>5.317186508969618</v>
      </c>
      <c r="J23" s="88">
        <f>VLOOKUP($A$4,Luvut!$B$3:$EG$297,136)</f>
        <v>19605831</v>
      </c>
      <c r="K23" s="89">
        <f>J23*1000/$J$6</f>
        <v>3562.3233903813893</v>
      </c>
      <c r="L23" s="86">
        <f t="shared" ref="L23:L55" si="1">((J23/G23)-1)*100</f>
        <v>1.6474167770803128</v>
      </c>
      <c r="M23" s="3"/>
      <c r="N23" s="162">
        <f t="shared" ref="N23:N47" si="2">((H23/E23)-1)*100</f>
        <v>5.1777066953848427</v>
      </c>
      <c r="O23" s="162">
        <f t="shared" ref="O23:O47" si="3">((K23/H23)-1)*100</f>
        <v>1.4949363435161178</v>
      </c>
      <c r="R23" s="59"/>
    </row>
    <row r="24" spans="1:22" s="4" customFormat="1" ht="10.5" x14ac:dyDescent="0.25">
      <c r="A24" s="21" t="s">
        <v>371</v>
      </c>
      <c r="B24" s="11"/>
      <c r="C24" s="42"/>
      <c r="D24" s="88">
        <f>VLOOKUP($A$4,Luvut!$B$3:$AT$297,15)</f>
        <v>7812168</v>
      </c>
      <c r="E24" s="89">
        <f>D24*1000/$D$6</f>
        <v>1423.4662808643382</v>
      </c>
      <c r="F24" s="90"/>
      <c r="G24" s="89">
        <f>VLOOKUP($A$4,Luvut!$B$3:$ED$297,59)</f>
        <v>7546090</v>
      </c>
      <c r="H24" s="89">
        <f>G24*1000/$G$6</f>
        <v>1373.1628297662339</v>
      </c>
      <c r="I24" s="86">
        <f t="shared" si="0"/>
        <v>-3.4059431389596329</v>
      </c>
      <c r="J24" s="88">
        <f>VLOOKUP($A$4,Luvut!$B$3:$ED$297,103)</f>
        <v>7208017</v>
      </c>
      <c r="K24" s="89">
        <f>J24*1000/$J$6</f>
        <v>1309.6760630736178</v>
      </c>
      <c r="L24" s="86">
        <f t="shared" si="1"/>
        <v>-4.4801082414866471</v>
      </c>
      <c r="M24" s="29"/>
      <c r="N24" s="162">
        <f t="shared" si="2"/>
        <v>-3.5338702275096834</v>
      </c>
      <c r="O24" s="162">
        <f t="shared" si="3"/>
        <v>-4.623396826392689</v>
      </c>
    </row>
    <row r="25" spans="1:22" s="3" customFormat="1" ht="10.5" x14ac:dyDescent="0.25">
      <c r="A25" s="21" t="s">
        <v>288</v>
      </c>
      <c r="B25" s="11"/>
      <c r="C25" s="42"/>
      <c r="D25" s="88">
        <f>VLOOKUP($A$4,Luvut!$B$3:$AT$297,16)</f>
        <v>36914895</v>
      </c>
      <c r="E25" s="89">
        <f t="shared" ref="E25:E70" si="4">D25*1000/$D$6</f>
        <v>6726.315703163008</v>
      </c>
      <c r="F25" s="90"/>
      <c r="G25" s="89">
        <f>VLOOKUP($A$4,Luvut!$B$3:$ED$297,60)</f>
        <v>37903026</v>
      </c>
      <c r="H25" s="89">
        <f t="shared" ref="H25:H47" si="5">G25*1000/$G$6</f>
        <v>6897.2178225893331</v>
      </c>
      <c r="I25" s="86">
        <f t="shared" si="0"/>
        <v>2.6767812830024384</v>
      </c>
      <c r="J25" s="88">
        <f>VLOOKUP($A$4,Luvut!$B$3:$ED$297,104)</f>
        <v>38429313</v>
      </c>
      <c r="K25" s="89">
        <f>J25*1000/$J$6</f>
        <v>6982.496206163748</v>
      </c>
      <c r="L25" s="86">
        <f t="shared" si="1"/>
        <v>1.38850919185185</v>
      </c>
      <c r="M25" s="84"/>
      <c r="N25" s="162">
        <f t="shared" si="2"/>
        <v>2.5407983652322441</v>
      </c>
      <c r="O25" s="162">
        <f t="shared" si="3"/>
        <v>1.236417143375057</v>
      </c>
      <c r="Q25" s="4"/>
      <c r="R25" s="180"/>
      <c r="T25" s="180"/>
    </row>
    <row r="26" spans="1:22" s="3" customFormat="1" ht="10.5" x14ac:dyDescent="0.25">
      <c r="A26" s="45" t="s">
        <v>289</v>
      </c>
      <c r="B26" s="35"/>
      <c r="C26" s="110"/>
      <c r="D26" s="91">
        <f>VLOOKUP($A$4,Luvut!$B$3:$AT$297,17)</f>
        <v>-29102727</v>
      </c>
      <c r="E26" s="92">
        <f t="shared" si="4"/>
        <v>-5302.8494222986701</v>
      </c>
      <c r="F26" s="93"/>
      <c r="G26" s="92">
        <f>VLOOKUP($A$4,Luvut!$B$3:$ED$297,61)</f>
        <v>-30356936</v>
      </c>
      <c r="H26" s="92">
        <f t="shared" si="5"/>
        <v>-5524.0549928230985</v>
      </c>
      <c r="I26" s="86">
        <f t="shared" si="0"/>
        <v>4.3095927058656835</v>
      </c>
      <c r="J26" s="91">
        <f>VLOOKUP($A$4,Luvut!$B$3:$ED$297,105)</f>
        <v>-31221279</v>
      </c>
      <c r="K26" s="92">
        <f>J26*1000/$J$6</f>
        <v>-5672.8170542387761</v>
      </c>
      <c r="L26" s="86">
        <f>((J26/G26)-1)*100</f>
        <v>2.8472669310235954</v>
      </c>
      <c r="M26" s="85"/>
      <c r="N26" s="162">
        <f t="shared" si="2"/>
        <v>4.1714473278130715</v>
      </c>
      <c r="O26" s="162">
        <f>((K26/H26)-1)*100</f>
        <v>2.6929866123517998</v>
      </c>
      <c r="P26" s="29"/>
      <c r="Q26" s="180"/>
      <c r="R26" s="180"/>
      <c r="S26" s="29"/>
      <c r="T26" s="29"/>
      <c r="U26" s="29"/>
      <c r="V26" s="29"/>
    </row>
    <row r="27" spans="1:22" s="3" customFormat="1" ht="10.5" x14ac:dyDescent="0.25">
      <c r="A27" s="45"/>
      <c r="B27" s="35"/>
      <c r="C27" s="110"/>
      <c r="D27" s="88" t="s">
        <v>311</v>
      </c>
      <c r="E27" s="89" t="s">
        <v>311</v>
      </c>
      <c r="F27" s="93"/>
      <c r="G27" s="89" t="s">
        <v>311</v>
      </c>
      <c r="H27" s="89" t="s">
        <v>311</v>
      </c>
      <c r="I27" s="86"/>
      <c r="J27" s="88" t="s">
        <v>311</v>
      </c>
      <c r="K27" s="89" t="s">
        <v>311</v>
      </c>
      <c r="L27" s="86"/>
      <c r="M27" s="84"/>
      <c r="N27" s="162"/>
      <c r="O27" s="162"/>
      <c r="P27" s="29"/>
      <c r="Q27" s="180"/>
      <c r="R27" s="180"/>
      <c r="S27" s="59"/>
      <c r="T27" s="168"/>
      <c r="U27" s="78"/>
      <c r="V27" s="29"/>
    </row>
    <row r="28" spans="1:22" s="4" customFormat="1" ht="10.5" x14ac:dyDescent="0.25">
      <c r="A28" s="21" t="s">
        <v>290</v>
      </c>
      <c r="B28" s="11"/>
      <c r="C28" s="42"/>
      <c r="D28" s="88">
        <f>VLOOKUP($A$4,Luvut!$B$3:$AT$297,18)</f>
        <v>22321220</v>
      </c>
      <c r="E28" s="89">
        <f t="shared" si="4"/>
        <v>4067.1813532113852</v>
      </c>
      <c r="F28" s="90"/>
      <c r="G28" s="89">
        <f>VLOOKUP($A$4,Luvut!$B$3:$ED$297,62)</f>
        <v>22912315</v>
      </c>
      <c r="H28" s="89">
        <f t="shared" si="5"/>
        <v>4169.3564881806778</v>
      </c>
      <c r="I28" s="86">
        <f t="shared" si="0"/>
        <v>2.6481303441299398</v>
      </c>
      <c r="J28" s="88">
        <f>VLOOKUP($A$4,Luvut!$B$3:$ED$297,106)</f>
        <v>23825588</v>
      </c>
      <c r="K28" s="89">
        <f>J28*1000/$J$6</f>
        <v>4329.0411623965419</v>
      </c>
      <c r="L28" s="86">
        <f t="shared" si="1"/>
        <v>3.9859481680484921</v>
      </c>
      <c r="M28" s="84"/>
      <c r="N28" s="162">
        <f t="shared" si="2"/>
        <v>2.5121853710461384</v>
      </c>
      <c r="O28" s="162">
        <f t="shared" si="3"/>
        <v>3.8299597232460014</v>
      </c>
      <c r="P28" s="59"/>
      <c r="Q28" s="29"/>
      <c r="R28" s="180"/>
      <c r="S28" s="59"/>
      <c r="T28" s="59"/>
      <c r="U28" s="59"/>
      <c r="V28" s="59"/>
    </row>
    <row r="29" spans="1:22" s="4" customFormat="1" ht="10.5" x14ac:dyDescent="0.25">
      <c r="A29" s="21" t="s">
        <v>335</v>
      </c>
      <c r="B29" s="11"/>
      <c r="C29" s="42"/>
      <c r="D29" s="88">
        <f>VLOOKUP($A$4,Luvut!$B$3:$AT$297,19)</f>
        <v>8456755</v>
      </c>
      <c r="E29" s="89">
        <f t="shared" si="4"/>
        <v>1540.9173980937042</v>
      </c>
      <c r="F29" s="90"/>
      <c r="G29" s="89">
        <f>VLOOKUP($A$4,Luvut!$B$3:$ED$297,63)</f>
        <v>8640795</v>
      </c>
      <c r="H29" s="89">
        <f t="shared" si="5"/>
        <v>1572.3664193814182</v>
      </c>
      <c r="I29" s="86">
        <f t="shared" si="0"/>
        <v>2.1762484546377525</v>
      </c>
      <c r="J29" s="88">
        <f>VLOOKUP($A$4,Luvut!$B$3:$ED$297,107)</f>
        <v>11005673</v>
      </c>
      <c r="K29" s="89">
        <f>J29*1000/$J$6</f>
        <v>1999.6992912358021</v>
      </c>
      <c r="L29" s="86">
        <f t="shared" si="1"/>
        <v>27.368754842581033</v>
      </c>
      <c r="M29" s="207"/>
      <c r="N29" s="162">
        <f t="shared" si="2"/>
        <v>2.0409284317653986</v>
      </c>
      <c r="O29" s="162">
        <f t="shared" si="3"/>
        <v>27.177690046477853</v>
      </c>
      <c r="P29" s="59"/>
      <c r="Q29" s="59"/>
      <c r="R29" s="180"/>
      <c r="S29" s="59"/>
      <c r="T29" s="59"/>
      <c r="U29" s="59"/>
      <c r="V29" s="59"/>
    </row>
    <row r="30" spans="1:22" s="4" customFormat="1" ht="10.5" x14ac:dyDescent="0.25">
      <c r="A30" s="214" t="s">
        <v>397</v>
      </c>
      <c r="B30" s="201"/>
      <c r="C30" s="202"/>
      <c r="D30" s="203"/>
      <c r="E30" s="204"/>
      <c r="F30" s="205"/>
      <c r="G30" s="215">
        <f>VLOOKUP($A$4,Luvut!$B$3:$EJ$297,138)</f>
        <v>10000</v>
      </c>
      <c r="H30" s="89">
        <f t="shared" si="5"/>
        <v>1.8197011031755967</v>
      </c>
      <c r="I30" s="86"/>
      <c r="J30" s="215">
        <f>VLOOKUP($A$4,Luvut!$B$3:$EJ$297,139)</f>
        <v>60000</v>
      </c>
      <c r="K30" s="89">
        <f>J30*1000/$J$6</f>
        <v>10.901828309286323</v>
      </c>
      <c r="L30" s="86"/>
      <c r="M30" s="84"/>
      <c r="N30" s="162"/>
      <c r="O30" s="162"/>
      <c r="P30" s="59"/>
      <c r="Q30" s="59"/>
      <c r="R30" s="180"/>
      <c r="S30" s="59"/>
      <c r="T30" s="59"/>
      <c r="U30" s="59"/>
      <c r="V30" s="59"/>
    </row>
    <row r="31" spans="1:22" s="4" customFormat="1" ht="10.5" x14ac:dyDescent="0.25">
      <c r="A31" s="45" t="s">
        <v>360</v>
      </c>
      <c r="B31" s="11"/>
      <c r="C31" s="42"/>
      <c r="D31" s="88">
        <f>SUM(D28:D29)</f>
        <v>30777975</v>
      </c>
      <c r="E31" s="89">
        <f t="shared" si="4"/>
        <v>5608.0987513050895</v>
      </c>
      <c r="F31" s="90"/>
      <c r="G31" s="89">
        <f>SUM(G28:G29)</f>
        <v>31553110</v>
      </c>
      <c r="H31" s="89">
        <f t="shared" si="5"/>
        <v>5741.7229075620953</v>
      </c>
      <c r="I31" s="86">
        <f t="shared" si="0"/>
        <v>2.5184730314453674</v>
      </c>
      <c r="J31" s="88">
        <f>SUM(J28:J29)</f>
        <v>34831261</v>
      </c>
      <c r="K31" s="89">
        <f>J31*1000/$J$6</f>
        <v>6328.7404536323438</v>
      </c>
      <c r="L31" s="86">
        <f t="shared" si="1"/>
        <v>10.389311861810135</v>
      </c>
      <c r="M31" s="85"/>
      <c r="N31" s="162">
        <f t="shared" si="2"/>
        <v>2.3826997737140365</v>
      </c>
      <c r="O31" s="162">
        <f t="shared" si="3"/>
        <v>10.22371778507669</v>
      </c>
      <c r="P31" s="59"/>
      <c r="Q31" s="168"/>
      <c r="R31" s="180"/>
      <c r="S31" s="59"/>
      <c r="T31" s="59"/>
      <c r="U31" s="59"/>
      <c r="V31" s="59"/>
    </row>
    <row r="32" spans="1:22" s="3" customFormat="1" ht="10.5" x14ac:dyDescent="0.25">
      <c r="A32" s="45" t="s">
        <v>292</v>
      </c>
      <c r="B32" s="35"/>
      <c r="C32" s="110"/>
      <c r="D32" s="91">
        <f>D31+D26</f>
        <v>1675248</v>
      </c>
      <c r="E32" s="92">
        <f t="shared" si="4"/>
        <v>305.24932900641932</v>
      </c>
      <c r="F32" s="93"/>
      <c r="G32" s="92">
        <f>G26+G31</f>
        <v>1196174</v>
      </c>
      <c r="H32" s="92">
        <f t="shared" si="5"/>
        <v>217.66791473899664</v>
      </c>
      <c r="I32" s="86"/>
      <c r="J32" s="91">
        <f>J26+J31</f>
        <v>3609982</v>
      </c>
      <c r="K32" s="92">
        <f>J32*1000/$J$6</f>
        <v>655.92339939356759</v>
      </c>
      <c r="L32" s="86"/>
      <c r="M32" s="84"/>
      <c r="N32" s="162"/>
      <c r="O32" s="162"/>
      <c r="P32" s="29"/>
      <c r="Q32" s="59"/>
      <c r="R32" s="180"/>
      <c r="S32" s="29"/>
      <c r="T32" s="189"/>
      <c r="U32" s="29"/>
      <c r="V32" s="29"/>
    </row>
    <row r="33" spans="1:21" s="4" customFormat="1" ht="10.5" x14ac:dyDescent="0.25">
      <c r="A33" s="45"/>
      <c r="B33" s="35"/>
      <c r="C33" s="110"/>
      <c r="D33" s="51"/>
      <c r="E33" s="12" t="s">
        <v>311</v>
      </c>
      <c r="F33" s="46"/>
      <c r="G33" s="12"/>
      <c r="H33" s="12" t="s">
        <v>311</v>
      </c>
      <c r="I33" s="86"/>
      <c r="J33" s="51"/>
      <c r="K33" s="12" t="s">
        <v>311</v>
      </c>
      <c r="L33" s="86"/>
      <c r="M33" s="80"/>
      <c r="N33" s="162"/>
      <c r="O33" s="162"/>
      <c r="Q33" s="29"/>
      <c r="R33" s="180"/>
      <c r="U33" s="79"/>
    </row>
    <row r="34" spans="1:21" s="4" customFormat="1" ht="10.5" x14ac:dyDescent="0.25">
      <c r="A34" s="21" t="s">
        <v>304</v>
      </c>
      <c r="B34" s="11"/>
      <c r="C34" s="42"/>
      <c r="D34" s="88">
        <f>VLOOKUP($A$4,Luvut!$B$3:$AT$297,22)</f>
        <v>77497</v>
      </c>
      <c r="E34" s="89">
        <f t="shared" si="4"/>
        <v>14.120838974295435</v>
      </c>
      <c r="F34" s="90" t="s">
        <v>311</v>
      </c>
      <c r="G34" s="89">
        <f>VLOOKUP($A$4,Luvut!$B$3:$ED$297,66)</f>
        <v>68795</v>
      </c>
      <c r="H34" s="89">
        <f t="shared" si="5"/>
        <v>12.518633739296519</v>
      </c>
      <c r="I34" s="86"/>
      <c r="J34" s="88">
        <f>VLOOKUP($A$4,Luvut!$B$3:$ED$297,110)</f>
        <v>58142</v>
      </c>
      <c r="K34" s="89">
        <f>J34*1000/$J$6</f>
        <v>10.564235025975423</v>
      </c>
      <c r="L34" s="86"/>
      <c r="M34" s="59"/>
      <c r="N34" s="162"/>
      <c r="O34" s="162"/>
      <c r="R34" s="180"/>
    </row>
    <row r="35" spans="1:21" s="3" customFormat="1" ht="10.5" x14ac:dyDescent="0.25">
      <c r="A35" s="21" t="s">
        <v>303</v>
      </c>
      <c r="B35" s="11"/>
      <c r="C35" s="42"/>
      <c r="D35" s="88">
        <f>VLOOKUP($A$4,Luvut!$B$3:$AT$297,23)</f>
        <v>312458</v>
      </c>
      <c r="E35" s="89">
        <f t="shared" si="4"/>
        <v>56.933418122384126</v>
      </c>
      <c r="F35" s="90" t="s">
        <v>311</v>
      </c>
      <c r="G35" s="89">
        <f>VLOOKUP($A$4,Luvut!$B$3:$ED$297,67)</f>
        <v>482647</v>
      </c>
      <c r="H35" s="89">
        <f t="shared" si="5"/>
        <v>87.827327834439231</v>
      </c>
      <c r="I35" s="86"/>
      <c r="J35" s="88">
        <f>VLOOKUP($A$4,Luvut!$B$3:$ED$297,111)</f>
        <v>404863</v>
      </c>
      <c r="K35" s="89">
        <f>J35*1000/$J$6</f>
        <v>73.562448579709809</v>
      </c>
      <c r="L35" s="86"/>
      <c r="M35" s="59"/>
      <c r="N35" s="162"/>
      <c r="O35" s="162"/>
      <c r="Q35" s="4"/>
      <c r="R35" s="180"/>
    </row>
    <row r="36" spans="1:21" s="3" customFormat="1" ht="10.5" x14ac:dyDescent="0.25">
      <c r="A36" s="45" t="s">
        <v>293</v>
      </c>
      <c r="B36" s="35"/>
      <c r="C36" s="110"/>
      <c r="D36" s="91">
        <f>VLOOKUP($A$4,Luvut!$B$3:$AT$297,24)</f>
        <v>2065203</v>
      </c>
      <c r="E36" s="92">
        <f t="shared" si="4"/>
        <v>376.30358610309889</v>
      </c>
      <c r="F36" s="93"/>
      <c r="G36" s="92">
        <f>VLOOKUP($A$4,Luvut!$B$3:$ED$297,68)</f>
        <v>1747616</v>
      </c>
      <c r="H36" s="92">
        <f t="shared" si="5"/>
        <v>318.01387631273235</v>
      </c>
      <c r="I36" s="86"/>
      <c r="J36" s="91">
        <f>VLOOKUP($A$4,Luvut!$B$3:$ED$297,112)</f>
        <v>4072987</v>
      </c>
      <c r="K36" s="92">
        <f>J36*1000/$J$6</f>
        <v>740.05008299925282</v>
      </c>
      <c r="L36" s="86"/>
      <c r="M36" s="29"/>
      <c r="N36" s="162"/>
      <c r="O36" s="162"/>
      <c r="Q36" s="180"/>
      <c r="R36" s="180"/>
    </row>
    <row r="37" spans="1:21" s="4" customFormat="1" ht="10.5" x14ac:dyDescent="0.25">
      <c r="A37" s="45"/>
      <c r="B37" s="35"/>
      <c r="C37" s="110"/>
      <c r="D37" s="88" t="s">
        <v>311</v>
      </c>
      <c r="E37" s="89" t="s">
        <v>311</v>
      </c>
      <c r="F37" s="93"/>
      <c r="G37" s="89" t="s">
        <v>311</v>
      </c>
      <c r="H37" s="89" t="s">
        <v>311</v>
      </c>
      <c r="I37" s="86"/>
      <c r="J37" s="88" t="s">
        <v>311</v>
      </c>
      <c r="K37" s="89" t="s">
        <v>311</v>
      </c>
      <c r="L37" s="86"/>
      <c r="N37" s="162"/>
      <c r="O37" s="162"/>
      <c r="Q37" s="3"/>
      <c r="R37" s="180"/>
    </row>
    <row r="38" spans="1:21" s="4" customFormat="1" ht="10.5" x14ac:dyDescent="0.25">
      <c r="A38" s="21" t="s">
        <v>325</v>
      </c>
      <c r="B38" s="11"/>
      <c r="C38" s="42"/>
      <c r="D38" s="88">
        <f>VLOOKUP($A$4,Luvut!$B$3:$AT$297,25)</f>
        <v>2192453</v>
      </c>
      <c r="E38" s="89">
        <f t="shared" si="4"/>
        <v>399.48999021524634</v>
      </c>
      <c r="F38" s="90" t="s">
        <v>311</v>
      </c>
      <c r="G38" s="89">
        <f>VLOOKUP($A$4,Luvut!$B$3:$ED$297,69)</f>
        <v>2305725</v>
      </c>
      <c r="H38" s="89">
        <f t="shared" si="5"/>
        <v>419.57303261195528</v>
      </c>
      <c r="I38" s="86">
        <f t="shared" si="0"/>
        <v>5.1664505464883437</v>
      </c>
      <c r="J38" s="88">
        <f>VLOOKUP($A$4,Luvut!$B$3:$ED$297,113)</f>
        <v>2397525</v>
      </c>
      <c r="K38" s="89">
        <f>J38*1000/$J$6</f>
        <v>435.62343195369488</v>
      </c>
      <c r="L38" s="86">
        <f t="shared" si="1"/>
        <v>3.9813941385030693</v>
      </c>
      <c r="N38" s="162"/>
      <c r="O38" s="162"/>
      <c r="P38" s="125"/>
      <c r="R38" s="180"/>
    </row>
    <row r="39" spans="1:21" s="3" customFormat="1" ht="10.5" x14ac:dyDescent="0.25">
      <c r="A39" s="21" t="s">
        <v>309</v>
      </c>
      <c r="B39" s="11"/>
      <c r="C39" s="42"/>
      <c r="D39" s="88">
        <f>VLOOKUP($A$4,Luvut!$B$3:$AT$297,26)</f>
        <v>45943</v>
      </c>
      <c r="E39" s="89">
        <f t="shared" si="4"/>
        <v>8.3713396001916855</v>
      </c>
      <c r="F39" s="90"/>
      <c r="G39" s="89">
        <f>VLOOKUP($A$4,Luvut!$B$3:$ED$297,70)</f>
        <v>403902</v>
      </c>
      <c r="H39" s="89">
        <f t="shared" si="5"/>
        <v>73.498091497482989</v>
      </c>
      <c r="I39" s="86"/>
      <c r="J39" s="88">
        <f>VLOOKUP($A$4,Luvut!$B$3:$ED$297,114)</f>
        <v>90574</v>
      </c>
      <c r="K39" s="89">
        <f>J39*1000/$J$6</f>
        <v>16.457036621421658</v>
      </c>
      <c r="L39" s="86"/>
      <c r="M39" s="29"/>
      <c r="N39" s="162"/>
      <c r="O39" s="162"/>
      <c r="Q39" s="4"/>
      <c r="R39" s="180"/>
    </row>
    <row r="40" spans="1:21" s="3" customFormat="1" ht="10.5" x14ac:dyDescent="0.25">
      <c r="A40" s="21" t="s">
        <v>310</v>
      </c>
      <c r="B40" s="11"/>
      <c r="C40" s="42"/>
      <c r="D40" s="88">
        <f>VLOOKUP($A$4,Luvut!$B$3:$AT$297,27)</f>
        <v>26114</v>
      </c>
      <c r="E40" s="89">
        <f t="shared" si="4"/>
        <v>4.758269210095242</v>
      </c>
      <c r="F40" s="90"/>
      <c r="G40" s="89">
        <f>VLOOKUP($A$4,Luvut!$B$3:$ED$297,71)</f>
        <v>9885</v>
      </c>
      <c r="H40" s="89">
        <f t="shared" si="5"/>
        <v>1.7987745404890774</v>
      </c>
      <c r="I40" s="86"/>
      <c r="J40" s="88">
        <f>VLOOKUP($A$4,Luvut!$B$3:$ED$297,115)</f>
        <v>9330</v>
      </c>
      <c r="K40" s="89">
        <f>J40*1000/$J$6</f>
        <v>1.6952343020940233</v>
      </c>
      <c r="L40" s="86"/>
      <c r="M40" s="29"/>
      <c r="N40" s="162"/>
      <c r="O40" s="162"/>
      <c r="R40" s="180"/>
    </row>
    <row r="41" spans="1:21" s="3" customFormat="1" ht="10.5" x14ac:dyDescent="0.25">
      <c r="A41" s="45" t="s">
        <v>294</v>
      </c>
      <c r="B41" s="35"/>
      <c r="C41" s="110"/>
      <c r="D41" s="91">
        <f>VLOOKUP($A$4,Luvut!$B$3:$AT$297,28)</f>
        <v>-107421</v>
      </c>
      <c r="E41" s="92">
        <f t="shared" si="4"/>
        <v>-19.573333722051046</v>
      </c>
      <c r="F41" s="93"/>
      <c r="G41" s="92">
        <f>VLOOKUP($A$4,Luvut!$B$3:$ED$297,72)</f>
        <v>-164092</v>
      </c>
      <c r="H41" s="92">
        <f t="shared" si="5"/>
        <v>-29.859839342229002</v>
      </c>
      <c r="I41" s="86"/>
      <c r="J41" s="91">
        <f>VLOOKUP($A$4,Luvut!$B$3:$ED$297,116)</f>
        <v>1756706</v>
      </c>
      <c r="K41" s="92">
        <f>J41*1000/$J$6</f>
        <v>319.18845336488567</v>
      </c>
      <c r="L41" s="86"/>
      <c r="N41" s="162"/>
      <c r="O41" s="162"/>
      <c r="R41" s="180"/>
      <c r="S41" s="180"/>
    </row>
    <row r="42" spans="1:21" s="3" customFormat="1" ht="10.5" x14ac:dyDescent="0.25">
      <c r="A42" s="45"/>
      <c r="B42" s="35"/>
      <c r="C42" s="110"/>
      <c r="D42" s="88" t="s">
        <v>311</v>
      </c>
      <c r="E42" s="89" t="s">
        <v>311</v>
      </c>
      <c r="F42" s="93"/>
      <c r="G42" s="89" t="s">
        <v>311</v>
      </c>
      <c r="H42" s="89" t="s">
        <v>311</v>
      </c>
      <c r="I42" s="86"/>
      <c r="J42" s="88" t="s">
        <v>311</v>
      </c>
      <c r="K42" s="89" t="s">
        <v>311</v>
      </c>
      <c r="L42" s="86"/>
      <c r="M42" s="29"/>
      <c r="N42" s="162"/>
      <c r="O42" s="162"/>
      <c r="Q42" s="180"/>
      <c r="R42" s="180"/>
    </row>
    <row r="43" spans="1:21" s="4" customFormat="1" ht="10.5" x14ac:dyDescent="0.25">
      <c r="A43" s="21" t="s">
        <v>295</v>
      </c>
      <c r="B43" s="11"/>
      <c r="C43" s="42"/>
      <c r="D43" s="88">
        <f>VLOOKUP($A$4,Luvut!$B$3:$AT$297,29)</f>
        <v>-11544</v>
      </c>
      <c r="E43" s="89">
        <f t="shared" si="4"/>
        <v>-2.1034487156827555</v>
      </c>
      <c r="F43" s="90" t="s">
        <v>311</v>
      </c>
      <c r="G43" s="89">
        <f>VLOOKUP($A$4,Luvut!$B$3:$ED$297,73)</f>
        <v>-4535</v>
      </c>
      <c r="H43" s="89">
        <f t="shared" si="5"/>
        <v>-0.82523445029013309</v>
      </c>
      <c r="I43" s="86"/>
      <c r="J43" s="88">
        <f>VLOOKUP($A$4,Luvut!$B$3:$ED$297,117)</f>
        <v>-25237</v>
      </c>
      <c r="K43" s="89">
        <f>J43*1000/$J$6</f>
        <v>-4.5854906840243155</v>
      </c>
      <c r="L43" s="86"/>
      <c r="M43" s="3"/>
      <c r="N43" s="162"/>
      <c r="O43" s="162"/>
      <c r="Q43" s="3"/>
      <c r="R43" s="180"/>
    </row>
    <row r="44" spans="1:21" s="3" customFormat="1" ht="10.5" x14ac:dyDescent="0.25">
      <c r="A44" s="21" t="s">
        <v>296</v>
      </c>
      <c r="B44" s="11"/>
      <c r="C44" s="42"/>
      <c r="D44" s="88">
        <f>VLOOKUP($A$4,Luvut!$B$3:$AT$297,30)</f>
        <v>49922</v>
      </c>
      <c r="E44" s="89">
        <f t="shared" si="4"/>
        <v>9.096358869050114</v>
      </c>
      <c r="F44" s="90"/>
      <c r="G44" s="89">
        <f>VLOOKUP($A$4,Luvut!$B$3:$ED$297,74)</f>
        <v>8374</v>
      </c>
      <c r="H44" s="89">
        <f t="shared" si="5"/>
        <v>1.5238177037992449</v>
      </c>
      <c r="I44" s="86"/>
      <c r="J44" s="88">
        <f>VLOOKUP($A$4,Luvut!$B$3:$ED$297,118)</f>
        <v>-96451</v>
      </c>
      <c r="K44" s="89">
        <f>J44*1000/$J$6</f>
        <v>-17.524870704316253</v>
      </c>
      <c r="L44" s="86"/>
      <c r="N44" s="162"/>
      <c r="O44" s="162"/>
      <c r="Q44" s="4"/>
      <c r="R44" s="180"/>
    </row>
    <row r="45" spans="1:21" s="8" customFormat="1" ht="10.5" x14ac:dyDescent="0.25">
      <c r="A45" s="21" t="s">
        <v>297</v>
      </c>
      <c r="B45" s="11"/>
      <c r="C45" s="42"/>
      <c r="D45" s="88">
        <f>VLOOKUP($A$4,Luvut!$B$3:$AT$297,31)</f>
        <v>44732</v>
      </c>
      <c r="E45" s="89">
        <f t="shared" si="4"/>
        <v>8.15068156184347</v>
      </c>
      <c r="F45" s="90"/>
      <c r="G45" s="89">
        <f>VLOOKUP($A$4,Luvut!$B$3:$ED$297,75)</f>
        <v>28188</v>
      </c>
      <c r="H45" s="89">
        <f t="shared" si="5"/>
        <v>5.1293734696313722</v>
      </c>
      <c r="I45" s="86"/>
      <c r="J45" s="88">
        <f>VLOOKUP($A$4,Luvut!$B$3:$ED$297,119)</f>
        <v>-61014</v>
      </c>
      <c r="K45" s="89">
        <f>J45*1000/$J$6</f>
        <v>-11.086069207713262</v>
      </c>
      <c r="L45" s="86"/>
      <c r="M45" s="3"/>
      <c r="N45" s="162"/>
      <c r="O45" s="162"/>
      <c r="Q45" s="3"/>
      <c r="R45" s="180"/>
    </row>
    <row r="46" spans="1:21" s="8" customFormat="1" ht="10.5" x14ac:dyDescent="0.25">
      <c r="A46" s="45" t="s">
        <v>384</v>
      </c>
      <c r="B46" s="35"/>
      <c r="C46" s="110"/>
      <c r="D46" s="91">
        <f>VLOOKUP($A$4,Luvut!$B$3:$AT$297,32)</f>
        <v>-24311</v>
      </c>
      <c r="E46" s="92">
        <f t="shared" si="4"/>
        <v>-4.4297420068402173</v>
      </c>
      <c r="F46" s="93"/>
      <c r="G46" s="92">
        <f>VLOOKUP($A$4,Luvut!$B$3:$ED$297,76)</f>
        <v>-132065</v>
      </c>
      <c r="H46" s="92">
        <f t="shared" si="5"/>
        <v>-24.03188261908852</v>
      </c>
      <c r="I46" s="86"/>
      <c r="J46" s="91">
        <f>VLOOKUP($A$4,Luvut!$B$3:$ED$297,120)</f>
        <v>1574004</v>
      </c>
      <c r="K46" s="92">
        <f>J46*1000/$J$6</f>
        <v>285.99202276883182</v>
      </c>
      <c r="L46" s="86"/>
      <c r="M46" s="63"/>
      <c r="N46" s="162"/>
      <c r="O46" s="162"/>
      <c r="R46" s="180"/>
    </row>
    <row r="47" spans="1:21" s="3" customFormat="1" ht="10.5" x14ac:dyDescent="0.25">
      <c r="A47" s="45" t="s">
        <v>392</v>
      </c>
      <c r="B47" s="11"/>
      <c r="C47" s="42"/>
      <c r="D47" s="91">
        <f>VLOOKUP($A$4,Luvut!$B$3:$AU$297,33)</f>
        <v>11261407</v>
      </c>
      <c r="E47" s="92">
        <f t="shared" si="4"/>
        <v>2051.9570418339217</v>
      </c>
      <c r="F47" s="93"/>
      <c r="G47" s="92">
        <f>VLOOKUP($A$4,Luvut!$B$3:$ED$297,77)</f>
        <v>11087957</v>
      </c>
      <c r="H47" s="92">
        <f t="shared" si="5"/>
        <v>2017.676758486358</v>
      </c>
      <c r="I47" s="86">
        <f t="shared" si="0"/>
        <v>-1.5402160671397436</v>
      </c>
      <c r="J47" s="91">
        <f>VLOOKUP($A$4,Luvut!$B$3:$ED$297,121)</f>
        <v>12581318</v>
      </c>
      <c r="K47" s="92">
        <f>J47*1000/$J$6</f>
        <v>2285.9894790088929</v>
      </c>
      <c r="L47" s="86">
        <f t="shared" si="1"/>
        <v>13.4683152180334</v>
      </c>
      <c r="M47" s="63"/>
      <c r="N47" s="162">
        <f t="shared" si="2"/>
        <v>-1.6706140844413575</v>
      </c>
      <c r="O47" s="162">
        <f t="shared" si="3"/>
        <v>13.298102354304774</v>
      </c>
      <c r="Q47" s="8"/>
      <c r="R47" s="180"/>
    </row>
    <row r="48" spans="1:21" s="3" customFormat="1" ht="10.5" x14ac:dyDescent="0.25">
      <c r="A48" s="45"/>
      <c r="B48" s="11"/>
      <c r="C48" s="42"/>
      <c r="D48" s="53"/>
      <c r="E48" s="12"/>
      <c r="F48" s="46"/>
      <c r="G48" s="11"/>
      <c r="H48" s="11"/>
      <c r="I48" s="86"/>
      <c r="J48" s="21"/>
      <c r="K48" s="11"/>
      <c r="L48" s="86"/>
      <c r="N48" s="162"/>
      <c r="O48" s="162"/>
      <c r="R48" s="180"/>
    </row>
    <row r="49" spans="1:21" s="3" customFormat="1" ht="15.5" x14ac:dyDescent="0.35">
      <c r="A49" s="57" t="s">
        <v>300</v>
      </c>
      <c r="B49" s="11"/>
      <c r="C49" s="42"/>
      <c r="D49" s="60">
        <v>1000</v>
      </c>
      <c r="E49" s="43" t="s">
        <v>323</v>
      </c>
      <c r="F49" s="44"/>
      <c r="G49" s="61">
        <v>1000</v>
      </c>
      <c r="H49" s="43" t="s">
        <v>323</v>
      </c>
      <c r="I49" s="86"/>
      <c r="J49" s="60">
        <v>1000</v>
      </c>
      <c r="K49" s="43" t="s">
        <v>323</v>
      </c>
      <c r="L49" s="86"/>
      <c r="N49" s="162"/>
      <c r="O49" s="162"/>
      <c r="R49" s="180"/>
    </row>
    <row r="50" spans="1:21" s="3" customFormat="1" ht="10.5" x14ac:dyDescent="0.25">
      <c r="A50" s="21"/>
      <c r="B50" s="11"/>
      <c r="C50" s="42"/>
      <c r="D50" s="54"/>
      <c r="E50" s="12" t="s">
        <v>311</v>
      </c>
      <c r="F50" s="42"/>
      <c r="G50" s="11"/>
      <c r="H50" s="11"/>
      <c r="I50" s="86"/>
      <c r="J50" s="21"/>
      <c r="K50" s="11"/>
      <c r="L50" s="86"/>
      <c r="N50" s="162"/>
      <c r="O50" s="162"/>
      <c r="R50" s="180"/>
    </row>
    <row r="51" spans="1:21" s="4" customFormat="1" ht="10.5" x14ac:dyDescent="0.25">
      <c r="A51" s="45" t="s">
        <v>385</v>
      </c>
      <c r="B51" s="35"/>
      <c r="C51" s="110"/>
      <c r="D51" s="91">
        <f>VLOOKUP($A$4,Luvut!$B$3:$AT$297,34)</f>
        <v>1569289</v>
      </c>
      <c r="E51" s="92">
        <f t="shared" si="4"/>
        <v>285.94238839094555</v>
      </c>
      <c r="F51" s="93" t="s">
        <v>311</v>
      </c>
      <c r="G51" s="92">
        <f>VLOOKUP($A$4,Luvut!$B$3:$ED$297,78)</f>
        <v>1298911</v>
      </c>
      <c r="H51" s="92">
        <f t="shared" ref="H51:H70" si="6">G51*1000/$G$6</f>
        <v>236.36297796269176</v>
      </c>
      <c r="I51" s="86"/>
      <c r="J51" s="91">
        <f>VLOOKUP($A$4,Luvut!$B$3:$ED$297,122)</f>
        <v>3702496</v>
      </c>
      <c r="K51" s="92">
        <f t="shared" ref="K51:K60" si="7">J51*1000/$J$6</f>
        <v>672.73292846365621</v>
      </c>
      <c r="L51" s="86"/>
      <c r="M51" s="59"/>
      <c r="N51" s="162"/>
      <c r="O51" s="162"/>
      <c r="Q51" s="3"/>
      <c r="R51" s="180"/>
    </row>
    <row r="52" spans="1:21" s="4" customFormat="1" ht="10.5" x14ac:dyDescent="0.25">
      <c r="A52" s="45" t="s">
        <v>302</v>
      </c>
      <c r="B52" s="35"/>
      <c r="C52" s="110"/>
      <c r="D52" s="91">
        <f>D53+D54+D55</f>
        <v>-2784173</v>
      </c>
      <c r="E52" s="92">
        <f t="shared" si="4"/>
        <v>-507.30813592243624</v>
      </c>
      <c r="F52" s="93"/>
      <c r="G52" s="92">
        <f>G53+G54+G55</f>
        <v>-2733060</v>
      </c>
      <c r="H52" s="92">
        <f t="shared" si="6"/>
        <v>-497.33522970450963</v>
      </c>
      <c r="I52" s="86">
        <f t="shared" si="0"/>
        <v>-1.8358413791097039</v>
      </c>
      <c r="J52" s="91">
        <f>J53+J54+J55</f>
        <v>-3320702</v>
      </c>
      <c r="K52" s="92">
        <f t="shared" si="7"/>
        <v>-603.36205117172847</v>
      </c>
      <c r="L52" s="86">
        <f t="shared" si="1"/>
        <v>21.501247685744175</v>
      </c>
      <c r="N52" s="162"/>
      <c r="O52" s="162"/>
      <c r="P52" s="76"/>
      <c r="R52" s="180"/>
      <c r="S52" s="76"/>
      <c r="T52" s="76"/>
      <c r="U52" s="76"/>
    </row>
    <row r="53" spans="1:21" s="4" customFormat="1" ht="10.5" x14ac:dyDescent="0.25">
      <c r="A53" s="112" t="s">
        <v>336</v>
      </c>
      <c r="B53" s="35"/>
      <c r="C53" s="110"/>
      <c r="D53" s="88">
        <f>VLOOKUP($A$4,Luvut!$B$3:$EP$297,140)</f>
        <v>-3649545</v>
      </c>
      <c r="E53" s="89">
        <f t="shared" si="4"/>
        <v>-664.98880310779805</v>
      </c>
      <c r="F53" s="90"/>
      <c r="G53" s="89">
        <f>VLOOKUP($A$4,Luvut!$B$3:$EP$297,143)</f>
        <v>-4048365</v>
      </c>
      <c r="H53" s="89">
        <f t="shared" si="6"/>
        <v>-736.68142565574749</v>
      </c>
      <c r="I53" s="86">
        <f t="shared" si="0"/>
        <v>10.927937592220394</v>
      </c>
      <c r="J53" s="88">
        <f>VLOOKUP($A$4,Luvut!$B$3:$FM$297,146)</f>
        <v>-4312042</v>
      </c>
      <c r="K53" s="89">
        <f t="shared" si="7"/>
        <v>-783.48569244052692</v>
      </c>
      <c r="L53" s="86">
        <f t="shared" si="1"/>
        <v>6.5131726017787495</v>
      </c>
      <c r="N53" s="162"/>
      <c r="O53" s="162"/>
      <c r="P53" s="76"/>
      <c r="Q53" s="76"/>
      <c r="R53" s="180"/>
      <c r="S53" s="76"/>
      <c r="T53" s="76"/>
      <c r="U53" s="76"/>
    </row>
    <row r="54" spans="1:21" s="4" customFormat="1" ht="10.5" x14ac:dyDescent="0.25">
      <c r="A54" s="112" t="s">
        <v>337</v>
      </c>
      <c r="B54" s="35"/>
      <c r="C54" s="110"/>
      <c r="D54" s="88">
        <f>VLOOKUP($A$4,Luvut!$B$3:$EP$297,141)</f>
        <v>120782</v>
      </c>
      <c r="E54" s="89">
        <f t="shared" si="4"/>
        <v>22.007860600969728</v>
      </c>
      <c r="F54" s="90"/>
      <c r="G54" s="89">
        <f>VLOOKUP($A$4,Luvut!$B$3:$EP$297,144)</f>
        <v>138051</v>
      </c>
      <c r="H54" s="89">
        <f t="shared" si="6"/>
        <v>25.121155699449432</v>
      </c>
      <c r="I54" s="86">
        <f>((G54/D54)-1)*100</f>
        <v>14.297660247387856</v>
      </c>
      <c r="J54" s="88">
        <f>VLOOKUP($A$4,Luvut!$B$3:$FM$297,147)</f>
        <v>185133</v>
      </c>
      <c r="K54" s="89">
        <f t="shared" si="7"/>
        <v>33.638136339718415</v>
      </c>
      <c r="L54" s="86">
        <f t="shared" si="1"/>
        <v>34.104787361192599</v>
      </c>
      <c r="N54" s="162"/>
      <c r="O54" s="162"/>
      <c r="P54" s="76"/>
      <c r="Q54" s="76"/>
      <c r="R54" s="180"/>
      <c r="S54" s="76"/>
      <c r="T54" s="76"/>
      <c r="U54" s="76"/>
    </row>
    <row r="55" spans="1:21" s="4" customFormat="1" ht="10.5" x14ac:dyDescent="0.25">
      <c r="A55" s="112" t="s">
        <v>338</v>
      </c>
      <c r="B55" s="35"/>
      <c r="C55" s="110"/>
      <c r="D55" s="88">
        <f>VLOOKUP($A$4,Luvut!$B$3:$EP$297,142)</f>
        <v>744590</v>
      </c>
      <c r="E55" s="89">
        <f t="shared" si="4"/>
        <v>135.67280658439213</v>
      </c>
      <c r="F55" s="90"/>
      <c r="G55" s="89">
        <f>VLOOKUP($A$4,Luvut!$B$3:$EP$297,145)</f>
        <v>1177254</v>
      </c>
      <c r="H55" s="89">
        <f t="shared" si="6"/>
        <v>214.22504025178841</v>
      </c>
      <c r="I55" s="86">
        <f>((G55/D55)-1)*100</f>
        <v>58.107683423091892</v>
      </c>
      <c r="J55" s="88">
        <f>VLOOKUP($A$4,Luvut!$B$3:$FM$297,148)</f>
        <v>806207</v>
      </c>
      <c r="K55" s="89">
        <f t="shared" si="7"/>
        <v>146.48550492907998</v>
      </c>
      <c r="L55" s="86">
        <f t="shared" si="1"/>
        <v>-31.518007159032802</v>
      </c>
      <c r="N55" s="162"/>
      <c r="O55" s="162"/>
      <c r="P55" s="76"/>
      <c r="Q55" s="76"/>
      <c r="R55" s="180"/>
      <c r="S55" s="76"/>
      <c r="T55" s="76"/>
      <c r="U55" s="76"/>
    </row>
    <row r="56" spans="1:21" s="3" customFormat="1" ht="10.5" x14ac:dyDescent="0.25">
      <c r="A56" s="21" t="s">
        <v>357</v>
      </c>
      <c r="B56" s="11"/>
      <c r="C56" s="42"/>
      <c r="D56" s="88">
        <f>VLOOKUP($A$4,Luvut!$B$3:$AT$297,36)</f>
        <v>-95006</v>
      </c>
      <c r="E56" s="89">
        <f t="shared" si="4"/>
        <v>-17.311178853270604</v>
      </c>
      <c r="F56" s="90"/>
      <c r="G56" s="89">
        <f>VLOOKUP($A$4,Luvut!$B$3:$ED$297,80)</f>
        <v>-66136</v>
      </c>
      <c r="H56" s="89">
        <f t="shared" si="6"/>
        <v>-12.034775215962126</v>
      </c>
      <c r="I56" s="86"/>
      <c r="J56" s="88">
        <f>VLOOKUP($A$4,Luvut!$B$3:$ED$297,124)</f>
        <v>-31312</v>
      </c>
      <c r="K56" s="89">
        <f t="shared" si="7"/>
        <v>-5.6893008003395558</v>
      </c>
      <c r="L56" s="86"/>
      <c r="N56" s="162"/>
      <c r="O56" s="162"/>
      <c r="Q56" s="76"/>
      <c r="R56" s="180"/>
    </row>
    <row r="57" spans="1:21" s="4" customFormat="1" ht="10.5" x14ac:dyDescent="0.25">
      <c r="A57" s="21" t="s">
        <v>301</v>
      </c>
      <c r="B57" s="11"/>
      <c r="C57" s="42"/>
      <c r="D57" s="88">
        <f>VLOOKUP($A$4,Luvut!$B$3:$AT$297,37)</f>
        <v>-1822844</v>
      </c>
      <c r="E57" s="89">
        <f t="shared" si="4"/>
        <v>-332.14300681652946</v>
      </c>
      <c r="F57" s="90"/>
      <c r="G57" s="89">
        <f>VLOOKUP($A$4,Luvut!$B$3:$ED$297,81)</f>
        <v>-1779142</v>
      </c>
      <c r="H57" s="89">
        <f t="shared" si="6"/>
        <v>-323.75066601060377</v>
      </c>
      <c r="I57" s="86"/>
      <c r="J57" s="88">
        <f>VLOOKUP($A$4,Luvut!$B$3:$ED$297,125)</f>
        <v>-1966295</v>
      </c>
      <c r="K57" s="89">
        <f t="shared" si="7"/>
        <v>-357.27017492346914</v>
      </c>
      <c r="L57" s="86"/>
      <c r="M57" s="3"/>
      <c r="N57" s="162"/>
      <c r="O57" s="162"/>
      <c r="Q57" s="3"/>
      <c r="R57" s="180"/>
    </row>
    <row r="58" spans="1:21" s="4" customFormat="1" ht="10.5" x14ac:dyDescent="0.25">
      <c r="A58" s="21" t="s">
        <v>339</v>
      </c>
      <c r="B58" s="35"/>
      <c r="C58" s="110"/>
      <c r="D58" s="88">
        <f>VLOOKUP($A$4,Luvut!$B$3:$EY$297,149)</f>
        <v>2263664</v>
      </c>
      <c r="E58" s="89">
        <f t="shared" si="4"/>
        <v>412.46544815811581</v>
      </c>
      <c r="F58" s="93"/>
      <c r="G58" s="89">
        <f>VLOOKUP($A$4,Luvut!$B$3:$EY$297,151)</f>
        <v>2830766</v>
      </c>
      <c r="H58" s="89">
        <f t="shared" si="6"/>
        <v>515.11480130319717</v>
      </c>
      <c r="I58" s="86"/>
      <c r="J58" s="88">
        <f>VLOOKUP($A$4,Luvut!$B$3:$EY$297,153)</f>
        <v>3338105</v>
      </c>
      <c r="K58" s="89">
        <f t="shared" si="7"/>
        <v>606.524126472837</v>
      </c>
      <c r="L58" s="86"/>
      <c r="M58" s="3"/>
      <c r="N58" s="162"/>
      <c r="O58" s="162"/>
      <c r="R58" s="180"/>
    </row>
    <row r="59" spans="1:21" s="4" customFormat="1" ht="10.5" x14ac:dyDescent="0.25">
      <c r="A59" s="21" t="s">
        <v>340</v>
      </c>
      <c r="B59" s="11"/>
      <c r="C59" s="42"/>
      <c r="D59" s="88">
        <f>VLOOKUP($A$4,Luvut!$B$3:$EY$297,150)</f>
        <v>148751</v>
      </c>
      <c r="E59" s="89">
        <f t="shared" si="4"/>
        <v>27.104132008534783</v>
      </c>
      <c r="F59" s="90"/>
      <c r="G59" s="89">
        <f>VLOOKUP($A$4,Luvut!$B$3:$EY$297,152)</f>
        <v>632620</v>
      </c>
      <c r="H59" s="89">
        <f t="shared" si="6"/>
        <v>115.11793118909461</v>
      </c>
      <c r="I59" s="86"/>
      <c r="J59" s="88">
        <f>VLOOKUP($A$4,Luvut!$B$3:$EY$297,154)</f>
        <v>-762131</v>
      </c>
      <c r="K59" s="89">
        <f t="shared" si="7"/>
        <v>-138.47702185307824</v>
      </c>
      <c r="L59" s="86"/>
      <c r="M59" s="3"/>
      <c r="N59" s="162" t="s">
        <v>396</v>
      </c>
      <c r="O59" s="162" t="s">
        <v>404</v>
      </c>
      <c r="R59" s="180"/>
    </row>
    <row r="60" spans="1:21" s="4" customFormat="1" ht="10.5" x14ac:dyDescent="0.25">
      <c r="A60" s="45" t="s">
        <v>333</v>
      </c>
      <c r="B60" s="35"/>
      <c r="C60" s="110"/>
      <c r="D60" s="91">
        <f>VLOOKUP($A$4,Luvut!$B$3:$AT$297,38)</f>
        <v>-1214884</v>
      </c>
      <c r="E60" s="92">
        <f t="shared" si="4"/>
        <v>-221.36574753149068</v>
      </c>
      <c r="F60" s="93"/>
      <c r="G60" s="92">
        <f>VLOOKUP($A$4,Luvut!$B$3:$ED$297,82)</f>
        <v>-1434149</v>
      </c>
      <c r="H60" s="92">
        <f t="shared" si="6"/>
        <v>-260.9722517418179</v>
      </c>
      <c r="I60" s="86"/>
      <c r="J60" s="91">
        <f>VLOOKUP($A$4,Luvut!$B$3:$ED$297,126)</f>
        <v>381794</v>
      </c>
      <c r="K60" s="92">
        <f t="shared" si="7"/>
        <v>69.370877291927698</v>
      </c>
      <c r="L60" s="86"/>
      <c r="N60" s="162" t="s">
        <v>372</v>
      </c>
      <c r="O60" s="162" t="s">
        <v>372</v>
      </c>
      <c r="Q60" s="125"/>
    </row>
    <row r="61" spans="1:21" s="4" customFormat="1" ht="10.5" x14ac:dyDescent="0.25">
      <c r="A61" s="45"/>
      <c r="B61" s="35"/>
      <c r="C61" s="110"/>
      <c r="D61" s="91"/>
      <c r="E61" s="92"/>
      <c r="F61" s="93"/>
      <c r="G61" s="92"/>
      <c r="H61" s="92"/>
      <c r="I61" s="86"/>
      <c r="J61" s="91"/>
      <c r="K61" s="92"/>
      <c r="L61" s="86"/>
      <c r="N61" s="162"/>
      <c r="O61" s="162"/>
    </row>
    <row r="62" spans="1:21" s="9" customFormat="1" ht="13" x14ac:dyDescent="0.3">
      <c r="A62" s="45" t="s">
        <v>290</v>
      </c>
      <c r="B62" s="47"/>
      <c r="C62" s="113"/>
      <c r="D62" s="91">
        <f>VLOOKUP($A$4,Luvut!$B$3:$AT$297,39)</f>
        <v>22321220</v>
      </c>
      <c r="E62" s="92">
        <f t="shared" si="4"/>
        <v>4067.1813532113852</v>
      </c>
      <c r="F62" s="106"/>
      <c r="G62" s="92">
        <f>VLOOKUP($A$4,Luvut!$B$3:$ED$297,83)</f>
        <v>22912315</v>
      </c>
      <c r="H62" s="92">
        <f t="shared" si="6"/>
        <v>4169.3564881806778</v>
      </c>
      <c r="I62" s="86">
        <f>((G62/D62)-1)*100</f>
        <v>2.6481303441299398</v>
      </c>
      <c r="J62" s="91">
        <f>SUM(J63:J65)</f>
        <v>23825588</v>
      </c>
      <c r="K62" s="92">
        <f>J62*1000/$J$6</f>
        <v>4329.0411623965419</v>
      </c>
      <c r="L62" s="86">
        <f>((J62/G62)-1)*100</f>
        <v>3.9859481680484921</v>
      </c>
      <c r="M62" s="3"/>
      <c r="N62" s="162">
        <f>((H62/E62)-1)*100</f>
        <v>2.5121853710461384</v>
      </c>
      <c r="O62" s="162">
        <f>((K62/H62)-1)*100</f>
        <v>3.8299597232460014</v>
      </c>
      <c r="Q62" s="4"/>
      <c r="S62" s="194"/>
    </row>
    <row r="63" spans="1:21" s="8" customFormat="1" ht="13" x14ac:dyDescent="0.3">
      <c r="A63" s="21" t="s">
        <v>312</v>
      </c>
      <c r="B63" s="200"/>
      <c r="C63" s="111"/>
      <c r="D63" s="88">
        <f>VLOOKUP($A$4,Luvut!$B$3:$AT$297,40)</f>
        <v>18664568</v>
      </c>
      <c r="E63" s="89">
        <f t="shared" si="4"/>
        <v>3400.8975734904238</v>
      </c>
      <c r="F63" s="107"/>
      <c r="G63" s="89">
        <f>VLOOKUP($A$4,Luvut!$B$3:$ED$297,84)</f>
        <v>19142606</v>
      </c>
      <c r="H63" s="89">
        <f t="shared" si="6"/>
        <v>3483.3821255855796</v>
      </c>
      <c r="I63" s="86">
        <f t="shared" ref="I63:I67" si="8">((G63/D63)-1)*100</f>
        <v>2.5612058098531953</v>
      </c>
      <c r="J63" s="88">
        <f>VLOOKUP($A$4,Luvut!$B$3:$ED$297,128)</f>
        <v>20124065</v>
      </c>
      <c r="K63" s="89">
        <f>J63*1000/$J$6</f>
        <v>3656.4850252486344</v>
      </c>
      <c r="L63" s="86">
        <f t="shared" ref="L63:L67" si="9">((J63/G63)-1)*100</f>
        <v>5.1270918912503349</v>
      </c>
      <c r="M63" s="3"/>
      <c r="N63" s="162">
        <f t="shared" ref="N63:N70" si="10">((H63/E63)-1)*100</f>
        <v>2.4253759577504752</v>
      </c>
      <c r="O63" s="162">
        <f t="shared" ref="O63:O70" si="11">((K63/H63)-1)*100</f>
        <v>4.9693916263624072</v>
      </c>
      <c r="Q63" s="9"/>
    </row>
    <row r="64" spans="1:21" x14ac:dyDescent="0.25">
      <c r="A64" s="21" t="s">
        <v>313</v>
      </c>
      <c r="B64" s="200"/>
      <c r="C64" s="114"/>
      <c r="D64" s="88">
        <f>VLOOKUP($A$4,Luvut!$B$3:$AT$297,41)</f>
        <v>1866127</v>
      </c>
      <c r="E64" s="89">
        <f t="shared" si="4"/>
        <v>340.02966402034934</v>
      </c>
      <c r="F64" s="108"/>
      <c r="G64" s="89">
        <f>VLOOKUP($A$4,Luvut!$B$3:$ED$297,85)</f>
        <v>1902907</v>
      </c>
      <c r="H64" s="89">
        <f t="shared" si="6"/>
        <v>346.27219671405652</v>
      </c>
      <c r="I64" s="86">
        <f t="shared" si="8"/>
        <v>1.9709269519169847</v>
      </c>
      <c r="J64" s="88">
        <f>VLOOKUP($A$4,Luvut!$B$3:$ED$297,129)</f>
        <v>1956930</v>
      </c>
      <c r="K64" s="89">
        <f>J64*1000/$J$6</f>
        <v>355.56858122152806</v>
      </c>
      <c r="L64" s="86">
        <f t="shared" si="9"/>
        <v>2.8389721620657227</v>
      </c>
      <c r="M64" s="3"/>
      <c r="N64" s="162">
        <f t="shared" si="10"/>
        <v>1.8358788524208247</v>
      </c>
      <c r="O64" s="162">
        <f t="shared" si="11"/>
        <v>2.6847042863069603</v>
      </c>
      <c r="Q64" s="190"/>
      <c r="S64" s="15"/>
    </row>
    <row r="65" spans="1:18" x14ac:dyDescent="0.25">
      <c r="A65" s="21" t="s">
        <v>314</v>
      </c>
      <c r="B65" s="200"/>
      <c r="C65" s="114"/>
      <c r="D65" s="88">
        <f>VLOOKUP($A$4,Luvut!$B$3:$AT$297,42)</f>
        <v>1790525</v>
      </c>
      <c r="E65" s="89">
        <f t="shared" si="4"/>
        <v>326.25411570061203</v>
      </c>
      <c r="F65" s="108"/>
      <c r="G65" s="89">
        <f>VLOOKUP($A$4,Luvut!$B$3:$ED$297,86)</f>
        <v>1866802</v>
      </c>
      <c r="H65" s="89">
        <f t="shared" si="6"/>
        <v>339.70216588104103</v>
      </c>
      <c r="I65" s="86">
        <f t="shared" si="8"/>
        <v>4.2600354644587446</v>
      </c>
      <c r="J65" s="88">
        <f>VLOOKUP($A$4,Luvut!$B$3:$ED$297,130)</f>
        <v>1744593</v>
      </c>
      <c r="K65" s="89">
        <f>J65*1000/$J$6</f>
        <v>316.98755592637923</v>
      </c>
      <c r="L65" s="86">
        <f t="shared" si="9"/>
        <v>-6.5464360976686287</v>
      </c>
      <c r="M65" s="29"/>
      <c r="N65" s="162">
        <f t="shared" si="10"/>
        <v>4.121955718949355</v>
      </c>
      <c r="O65" s="162">
        <f t="shared" si="11"/>
        <v>-6.6866250015656714</v>
      </c>
    </row>
    <row r="66" spans="1:18" x14ac:dyDescent="0.25">
      <c r="A66" s="21"/>
      <c r="B66" s="32"/>
      <c r="C66" s="114"/>
      <c r="D66" s="88"/>
      <c r="E66" s="89"/>
      <c r="F66" s="108"/>
      <c r="G66" s="89"/>
      <c r="H66" s="89"/>
      <c r="I66" s="86"/>
      <c r="J66" s="88"/>
      <c r="K66" s="89"/>
      <c r="L66" s="86"/>
      <c r="M66" s="193"/>
      <c r="N66" s="162"/>
      <c r="O66" s="162"/>
      <c r="P66" s="156"/>
    </row>
    <row r="67" spans="1:18" s="81" customFormat="1" ht="13" x14ac:dyDescent="0.3">
      <c r="A67" s="45" t="s">
        <v>345</v>
      </c>
      <c r="B67" s="118"/>
      <c r="C67" s="44"/>
      <c r="D67" s="91">
        <f>VLOOKUP($A$4,Luvut!$B$3:$FG$297,155)</f>
        <v>16729981</v>
      </c>
      <c r="E67" s="92">
        <f t="shared" si="4"/>
        <v>3048.3937151634527</v>
      </c>
      <c r="F67" s="119"/>
      <c r="G67" s="92">
        <f>VLOOKUP($A$4,Luvut!$B$3:$FG$297,159)</f>
        <v>18420037</v>
      </c>
      <c r="H67" s="92">
        <f t="shared" si="6"/>
        <v>3351.8961649435309</v>
      </c>
      <c r="I67" s="86">
        <f t="shared" si="8"/>
        <v>10.101960067976169</v>
      </c>
      <c r="J67" s="91">
        <f>VLOOKUP($A$4,Luvut!$B$3:$FM$297,163)</f>
        <v>19033385</v>
      </c>
      <c r="K67" s="92">
        <f>J67*1000/$J$6</f>
        <v>3458.3115902424274</v>
      </c>
      <c r="L67" s="86">
        <f t="shared" si="9"/>
        <v>3.3297870140000185</v>
      </c>
      <c r="M67" s="188"/>
      <c r="N67" s="162">
        <f t="shared" si="10"/>
        <v>9.9561434033400342</v>
      </c>
      <c r="O67" s="162">
        <f t="shared" si="11"/>
        <v>3.1747828710168013</v>
      </c>
      <c r="P67" s="157"/>
      <c r="Q67"/>
    </row>
    <row r="68" spans="1:18" ht="13" x14ac:dyDescent="0.3">
      <c r="A68" s="133" t="s">
        <v>343</v>
      </c>
      <c r="B68" s="134"/>
      <c r="C68" s="135"/>
      <c r="D68" s="88">
        <f>VLOOKUP($A$4,Luvut!$B$3:$FG$297,156)</f>
        <v>11682746</v>
      </c>
      <c r="E68" s="89">
        <f t="shared" si="4"/>
        <v>2128.7298223620796</v>
      </c>
      <c r="F68" s="108"/>
      <c r="G68" s="89">
        <f>VLOOKUP($A$4,Luvut!$B$3:$FG$297,160)</f>
        <v>12599485</v>
      </c>
      <c r="H68" s="89">
        <f t="shared" si="6"/>
        <v>2292.7296753944383</v>
      </c>
      <c r="I68" s="86"/>
      <c r="J68" s="88">
        <f>VLOOKUP($A$4,Luvut!$B$3:$FM$297,164)</f>
        <v>13927122</v>
      </c>
      <c r="K68" s="89">
        <f>J68*1000/$J$6</f>
        <v>2530.5182147747391</v>
      </c>
      <c r="L68" s="86"/>
      <c r="M68" s="3"/>
      <c r="N68" s="162">
        <f t="shared" si="10"/>
        <v>7.7041177940740946</v>
      </c>
      <c r="O68" s="162">
        <f t="shared" si="11"/>
        <v>10.371416304863423</v>
      </c>
      <c r="Q68" s="81"/>
      <c r="R68" s="193"/>
    </row>
    <row r="69" spans="1:18" x14ac:dyDescent="0.25">
      <c r="A69" s="133" t="s">
        <v>344</v>
      </c>
      <c r="B69" s="134"/>
      <c r="C69" s="135"/>
      <c r="D69" s="88">
        <f>VLOOKUP($A$4,Luvut!$B$3:$FG$297,157)</f>
        <v>5047235</v>
      </c>
      <c r="E69" s="89">
        <f t="shared" si="4"/>
        <v>919.66389280137309</v>
      </c>
      <c r="F69" s="108"/>
      <c r="G69" s="89">
        <f>VLOOKUP($A$4,Luvut!$B$3:$FG$297,161)</f>
        <v>5820552</v>
      </c>
      <c r="H69" s="89">
        <f t="shared" si="6"/>
        <v>1059.1664895490926</v>
      </c>
      <c r="I69" s="86"/>
      <c r="J69" s="88">
        <f>VLOOKUP($A$4,Luvut!$B$3:$FM$297,165)</f>
        <v>5106263</v>
      </c>
      <c r="K69" s="89">
        <f>J69*1000/$J$6</f>
        <v>927.79337546768841</v>
      </c>
      <c r="L69" s="86"/>
      <c r="M69" s="3"/>
      <c r="N69" s="162">
        <f t="shared" si="10"/>
        <v>15.168867435121648</v>
      </c>
      <c r="O69" s="162">
        <f t="shared" si="11"/>
        <v>-12.403443214799237</v>
      </c>
    </row>
    <row r="70" spans="1:18" x14ac:dyDescent="0.25">
      <c r="A70" s="133" t="s">
        <v>346</v>
      </c>
      <c r="B70" s="134"/>
      <c r="C70" s="135"/>
      <c r="D70" s="88">
        <f>VLOOKUP($A$4,Luvut!$B$3:$FG$297,158)</f>
        <v>5765559</v>
      </c>
      <c r="E70" s="89">
        <f t="shared" si="4"/>
        <v>1050.5507340387346</v>
      </c>
      <c r="F70" s="108"/>
      <c r="G70" s="89">
        <f>VLOOKUP($A$4,Luvut!$B$3:$FG$297,162)</f>
        <v>5548348</v>
      </c>
      <c r="H70" s="89">
        <f t="shared" si="6"/>
        <v>1009.6334976402117</v>
      </c>
      <c r="I70" s="86"/>
      <c r="J70" s="88">
        <f>VLOOKUP($A$4,Luvut!$B$3:$FM$297,166)</f>
        <v>5670611</v>
      </c>
      <c r="K70" s="89">
        <f>J70*1000/$J$6</f>
        <v>1030.3337921791738</v>
      </c>
      <c r="L70" s="86"/>
      <c r="M70" s="3"/>
      <c r="N70" s="162">
        <f t="shared" si="10"/>
        <v>-3.894836781582256</v>
      </c>
      <c r="O70" s="162">
        <f t="shared" si="11"/>
        <v>2.0502781046136453</v>
      </c>
    </row>
    <row r="71" spans="1:18" x14ac:dyDescent="0.25">
      <c r="A71" s="21"/>
      <c r="B71" s="32"/>
      <c r="C71" s="114"/>
      <c r="D71" s="51"/>
      <c r="E71" s="12"/>
      <c r="F71" s="12"/>
      <c r="G71" s="51"/>
      <c r="H71" s="12"/>
      <c r="I71" s="12"/>
      <c r="J71" s="51"/>
      <c r="K71" s="32"/>
      <c r="L71" s="49"/>
    </row>
    <row r="72" spans="1:18" s="81" customFormat="1" ht="13" x14ac:dyDescent="0.3">
      <c r="A72" s="45" t="s">
        <v>317</v>
      </c>
      <c r="B72" s="118"/>
      <c r="C72" s="44"/>
      <c r="D72" s="120">
        <f>VLOOKUP($A$4,Luvut!$B$3:$AT$297,43)</f>
        <v>19.87</v>
      </c>
      <c r="E72" s="121" t="s">
        <v>311</v>
      </c>
      <c r="F72" s="122"/>
      <c r="G72" s="123">
        <f>VLOOKUP($A$4,Luvut!$B$3:$ED$297,87)</f>
        <v>19.899999999999999</v>
      </c>
      <c r="H72" s="43" t="s">
        <v>311</v>
      </c>
      <c r="I72" s="122"/>
      <c r="J72" s="120">
        <f>VLOOKUP($A$4,Luvut!$B$3:$ED$297,131)</f>
        <v>19.98</v>
      </c>
      <c r="K72" s="43" t="s">
        <v>311</v>
      </c>
      <c r="L72" s="122"/>
      <c r="M72" s="27"/>
      <c r="N72" s="163"/>
      <c r="O72" s="163"/>
      <c r="Q72"/>
    </row>
    <row r="73" spans="1:18" ht="13" x14ac:dyDescent="0.3">
      <c r="A73" s="21" t="s">
        <v>315</v>
      </c>
      <c r="B73" s="32"/>
      <c r="C73" s="114"/>
      <c r="D73" s="51">
        <f>D63/D72</f>
        <v>939334.07146451937</v>
      </c>
      <c r="E73" s="12">
        <f>D73*1000/$D$6</f>
        <v>171.15740178613106</v>
      </c>
      <c r="F73" s="49"/>
      <c r="G73" s="12">
        <f>G63/G72</f>
        <v>961940.00000000012</v>
      </c>
      <c r="H73" s="12">
        <f>G73*1000/$G$6</f>
        <v>175.04432791887339</v>
      </c>
      <c r="I73" s="49"/>
      <c r="J73" s="51">
        <f>J63/J72</f>
        <v>1007210.4604604604</v>
      </c>
      <c r="K73" s="12">
        <f>J73*1000/$J$6</f>
        <v>183.00725852095266</v>
      </c>
      <c r="L73" s="49"/>
      <c r="M73" s="16"/>
      <c r="N73" s="164"/>
      <c r="Q73" s="81"/>
    </row>
    <row r="74" spans="1:18" x14ac:dyDescent="0.25">
      <c r="A74" s="50"/>
      <c r="B74" s="32"/>
      <c r="C74" s="114"/>
      <c r="D74" s="51" t="s">
        <v>311</v>
      </c>
      <c r="E74" s="12" t="s">
        <v>311</v>
      </c>
      <c r="F74" s="49"/>
      <c r="G74" s="12" t="s">
        <v>311</v>
      </c>
      <c r="H74" s="32"/>
      <c r="I74" s="49"/>
      <c r="J74" s="51"/>
      <c r="K74" s="32"/>
      <c r="L74" s="49"/>
      <c r="M74" s="16"/>
    </row>
    <row r="75" spans="1:18" x14ac:dyDescent="0.25">
      <c r="A75" s="21" t="s">
        <v>359</v>
      </c>
      <c r="B75" s="32"/>
      <c r="C75" s="114"/>
      <c r="D75" s="51" t="str">
        <f>VLOOKUP($A$4,Luvut!$B$3:$AT$297,45)</f>
        <v>-</v>
      </c>
      <c r="E75" s="12"/>
      <c r="F75" s="49"/>
      <c r="G75" s="12" t="str">
        <f>VLOOKUP($A$4,Luvut!$B$3:$ED$297,89)</f>
        <v>-</v>
      </c>
      <c r="H75" s="48"/>
      <c r="I75" s="49"/>
      <c r="J75" s="51" t="str">
        <f>VLOOKUP($A$4,Luvut!$B$3:$ED$297,133)</f>
        <v>-</v>
      </c>
      <c r="K75" s="48"/>
      <c r="L75" s="49"/>
      <c r="M75" s="16"/>
      <c r="N75" s="164"/>
      <c r="O75" s="164"/>
    </row>
    <row r="76" spans="1:18" s="71" customFormat="1" ht="13" thickBot="1" x14ac:dyDescent="0.3">
      <c r="A76" s="72" t="s">
        <v>332</v>
      </c>
      <c r="B76" s="73"/>
      <c r="C76" s="115"/>
      <c r="D76" s="72"/>
      <c r="E76" s="73"/>
      <c r="F76" s="74"/>
      <c r="G76" s="73"/>
      <c r="H76" s="73"/>
      <c r="I76" s="74"/>
      <c r="J76" s="72"/>
      <c r="K76" s="73"/>
      <c r="L76" s="74"/>
      <c r="N76" s="165"/>
      <c r="O76" s="165"/>
      <c r="Q76"/>
    </row>
    <row r="77" spans="1:18" x14ac:dyDescent="0.25">
      <c r="G77" s="2"/>
      <c r="Q77" s="71"/>
    </row>
    <row r="78" spans="1:18" x14ac:dyDescent="0.25">
      <c r="A78" s="8" t="s">
        <v>367</v>
      </c>
      <c r="B78" s="4"/>
      <c r="C78" s="5"/>
      <c r="D78" s="4"/>
      <c r="E78" s="7"/>
      <c r="F78" s="7"/>
      <c r="G78" s="6"/>
    </row>
    <row r="79" spans="1:18" x14ac:dyDescent="0.25">
      <c r="A79" s="8" t="s">
        <v>406</v>
      </c>
      <c r="B79" s="3"/>
      <c r="C79" s="10"/>
      <c r="D79" s="3"/>
      <c r="E79" s="6"/>
      <c r="F79" s="6"/>
      <c r="G79" s="6"/>
    </row>
    <row r="80" spans="1:18" x14ac:dyDescent="0.25">
      <c r="A80" s="3"/>
      <c r="B80" s="3"/>
      <c r="C80" s="10"/>
      <c r="D80" s="3"/>
      <c r="E80" s="6"/>
      <c r="F80" s="6"/>
      <c r="G80" s="6"/>
    </row>
    <row r="81" spans="1:7" x14ac:dyDescent="0.25">
      <c r="A81" s="4"/>
      <c r="B81" s="4"/>
      <c r="C81" s="5"/>
      <c r="D81" s="7"/>
      <c r="E81" s="7"/>
      <c r="F81" s="7"/>
      <c r="G81" s="7"/>
    </row>
    <row r="82" spans="1:7" x14ac:dyDescent="0.25">
      <c r="A82" s="4"/>
      <c r="B82" s="4"/>
      <c r="C82" s="5"/>
      <c r="D82" s="4"/>
      <c r="E82" s="7"/>
      <c r="F82" s="7"/>
      <c r="G82" s="7"/>
    </row>
    <row r="83" spans="1:7" x14ac:dyDescent="0.25">
      <c r="A83" s="3"/>
      <c r="B83" s="3"/>
      <c r="C83" s="10"/>
      <c r="D83" s="3"/>
      <c r="E83" s="6"/>
      <c r="F83" s="6"/>
      <c r="G83" s="6"/>
    </row>
    <row r="84" spans="1:7" x14ac:dyDescent="0.25">
      <c r="A84" s="3"/>
      <c r="B84" s="3"/>
      <c r="C84" s="10"/>
      <c r="D84" s="3"/>
      <c r="E84" s="6"/>
      <c r="F84" s="6"/>
      <c r="G84" s="6"/>
    </row>
    <row r="85" spans="1:7" x14ac:dyDescent="0.25">
      <c r="A85" s="4"/>
      <c r="B85" s="4"/>
      <c r="C85" s="5"/>
      <c r="D85" s="4"/>
      <c r="E85" s="7"/>
      <c r="F85" s="7"/>
      <c r="G85" s="7"/>
    </row>
    <row r="86" spans="1:7" x14ac:dyDescent="0.25">
      <c r="A86" s="4"/>
      <c r="B86" s="4"/>
      <c r="C86" s="5"/>
      <c r="D86" s="4"/>
      <c r="E86" s="7"/>
      <c r="F86" s="7"/>
      <c r="G86" s="7"/>
    </row>
    <row r="87" spans="1:7" x14ac:dyDescent="0.25">
      <c r="A87" s="3"/>
      <c r="B87" s="3"/>
      <c r="C87" s="10"/>
      <c r="D87" s="3"/>
      <c r="E87" s="6"/>
      <c r="F87" s="6"/>
      <c r="G87" s="6"/>
    </row>
    <row r="88" spans="1:7" x14ac:dyDescent="0.25">
      <c r="A88" s="3"/>
      <c r="B88" s="3"/>
      <c r="C88" s="10"/>
      <c r="D88" s="3"/>
      <c r="E88" s="6"/>
      <c r="F88" s="6"/>
      <c r="G88" s="6"/>
    </row>
    <row r="89" spans="1:7" x14ac:dyDescent="0.25">
      <c r="A89" s="3"/>
      <c r="B89" s="3"/>
      <c r="C89" s="10"/>
      <c r="D89" s="3"/>
      <c r="E89" s="6"/>
      <c r="F89" s="6"/>
      <c r="G89" s="6"/>
    </row>
    <row r="90" spans="1:7" x14ac:dyDescent="0.25">
      <c r="A90" s="4"/>
      <c r="B90" s="4"/>
      <c r="C90" s="5"/>
      <c r="D90" s="4"/>
      <c r="E90" s="7"/>
      <c r="F90" s="7"/>
      <c r="G90" s="7"/>
    </row>
  </sheetData>
  <mergeCells count="1">
    <mergeCell ref="G2:H2"/>
  </mergeCells>
  <phoneticPr fontId="14" type="noConversion"/>
  <pageMargins left="0.39370078740157483" right="0.39370078740157483" top="0.51181102362204722" bottom="0.51181102362204722" header="0.51181102362204722" footer="0.55118110236220474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defaultSize="0" autoLine="0" autoPict="0">
                <anchor moveWithCells="1">
                  <from>
                    <xdr:col>8</xdr:col>
                    <xdr:colOff>19050</xdr:colOff>
                    <xdr:row>0</xdr:row>
                    <xdr:rowOff>76200</xdr:rowOff>
                  </from>
                  <to>
                    <xdr:col>10</xdr:col>
                    <xdr:colOff>488950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GC318"/>
  <sheetViews>
    <sheetView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5.5" x14ac:dyDescent="0.35"/>
  <cols>
    <col min="1" max="1" width="4" style="77" customWidth="1"/>
    <col min="2" max="2" width="26" style="1" customWidth="1"/>
    <col min="3" max="3" width="9.1796875" style="130" customWidth="1"/>
    <col min="4" max="4" width="4.26953125" style="130" customWidth="1"/>
    <col min="5" max="5" width="10.81640625" style="142" bestFit="1" customWidth="1"/>
    <col min="6" max="6" width="21.54296875" style="130" bestFit="1" customWidth="1"/>
    <col min="7" max="7" width="16.453125" style="130" bestFit="1" customWidth="1"/>
    <col min="8" max="8" width="3.26953125" style="141" bestFit="1" customWidth="1"/>
    <col min="9" max="9" width="3.26953125" style="141" customWidth="1"/>
    <col min="10" max="10" width="3.26953125" style="141" bestFit="1" customWidth="1"/>
    <col min="11" max="11" width="14.7265625" style="130" bestFit="1" customWidth="1"/>
    <col min="12" max="12" width="10.453125" style="130" bestFit="1" customWidth="1"/>
    <col min="13" max="13" width="13.54296875" style="141" bestFit="1" customWidth="1"/>
    <col min="14" max="14" width="15.26953125" style="130" bestFit="1" customWidth="1"/>
    <col min="15" max="15" width="11.1796875" style="130" bestFit="1" customWidth="1"/>
    <col min="16" max="16" width="10.453125" style="130" bestFit="1" customWidth="1"/>
    <col min="17" max="17" width="9.7265625" style="130" bestFit="1" customWidth="1"/>
    <col min="18" max="18" width="9.453125" style="130" bestFit="1" customWidth="1"/>
    <col min="19" max="19" width="7.81640625" style="130" bestFit="1" customWidth="1"/>
    <col min="20" max="20" width="11.26953125" style="130" bestFit="1" customWidth="1"/>
    <col min="21" max="21" width="3.453125" style="150" customWidth="1"/>
    <col min="22" max="22" width="1.81640625" style="141" customWidth="1"/>
    <col min="23" max="23" width="16.7265625" style="130" bestFit="1" customWidth="1"/>
    <col min="24" max="24" width="33" style="130" bestFit="1" customWidth="1"/>
    <col min="25" max="25" width="9.1796875" style="130"/>
    <col min="26" max="26" width="27.81640625" style="130" bestFit="1" customWidth="1"/>
    <col min="27" max="27" width="12.1796875" style="130" bestFit="1" customWidth="1"/>
    <col min="28" max="28" width="11.453125" style="130" bestFit="1" customWidth="1"/>
    <col min="29" max="29" width="10.54296875" style="130" bestFit="1" customWidth="1"/>
    <col min="30" max="30" width="23.1796875" style="130" bestFit="1" customWidth="1"/>
    <col min="31" max="31" width="22.54296875" style="130" bestFit="1" customWidth="1"/>
    <col min="32" max="32" width="23.26953125" style="130" bestFit="1" customWidth="1"/>
    <col min="33" max="33" width="17.1796875" style="130" bestFit="1" customWidth="1"/>
    <col min="34" max="34" width="10.453125" style="149" bestFit="1" customWidth="1"/>
    <col min="35" max="35" width="18.81640625" style="130" bestFit="1" customWidth="1"/>
    <col min="36" max="36" width="3.26953125" style="141" customWidth="1"/>
    <col min="37" max="37" width="13" style="130" bestFit="1" customWidth="1"/>
    <col min="38" max="38" width="21.453125" style="130" bestFit="1" customWidth="1"/>
    <col min="39" max="39" width="13.453125" style="130" bestFit="1" customWidth="1"/>
    <col min="40" max="40" width="8.1796875" style="130" bestFit="1" customWidth="1"/>
    <col min="41" max="41" width="9.1796875" style="130" bestFit="1" customWidth="1"/>
    <col min="42" max="42" width="18.54296875" style="130" bestFit="1" customWidth="1"/>
    <col min="43" max="43" width="9.453125" style="130" bestFit="1" customWidth="1"/>
    <col min="44" max="44" width="11.54296875" style="130" bestFit="1" customWidth="1"/>
    <col min="45" max="45" width="4.1796875" style="141" bestFit="1" customWidth="1"/>
    <col min="46" max="46" width="19.26953125" style="130" bestFit="1" customWidth="1"/>
    <col min="47" max="47" width="10.81640625" style="130" bestFit="1" customWidth="1"/>
    <col min="48" max="48" width="4.1796875" style="130" customWidth="1"/>
    <col min="49" max="49" width="10.81640625" style="142" bestFit="1" customWidth="1"/>
    <col min="50" max="50" width="17" style="130" bestFit="1" customWidth="1"/>
    <col min="51" max="51" width="16.453125" style="130" bestFit="1" customWidth="1"/>
    <col min="52" max="52" width="3.81640625" style="141" customWidth="1"/>
    <col min="53" max="53" width="3" style="141" customWidth="1"/>
    <col min="54" max="54" width="3.26953125" style="141" customWidth="1"/>
    <col min="55" max="55" width="14.7265625" style="130" bestFit="1" customWidth="1"/>
    <col min="56" max="56" width="10.453125" style="130" bestFit="1" customWidth="1"/>
    <col min="57" max="57" width="13.54296875" style="141" bestFit="1" customWidth="1"/>
    <col min="58" max="58" width="15.26953125" style="130" bestFit="1" customWidth="1"/>
    <col min="59" max="59" width="11.1796875" style="130" bestFit="1" customWidth="1"/>
    <col min="60" max="60" width="10.453125" style="130" bestFit="1" customWidth="1"/>
    <col min="61" max="61" width="9.7265625" style="130" bestFit="1" customWidth="1"/>
    <col min="62" max="62" width="9.453125" style="130" bestFit="1" customWidth="1"/>
    <col min="63" max="63" width="10.26953125" style="130" customWidth="1"/>
    <col min="64" max="64" width="11.26953125" style="139" bestFit="1" customWidth="1"/>
    <col min="65" max="65" width="3.54296875" style="150" customWidth="1"/>
    <col min="66" max="66" width="4.1796875" style="141" bestFit="1" customWidth="1"/>
    <col min="67" max="67" width="16.7265625" style="130" bestFit="1" customWidth="1"/>
    <col min="68" max="68" width="33" style="130" bestFit="1" customWidth="1"/>
    <col min="69" max="69" width="9.1796875" style="130"/>
    <col min="70" max="70" width="27.81640625" style="130" bestFit="1" customWidth="1"/>
    <col min="71" max="72" width="9.1796875" style="130"/>
    <col min="73" max="73" width="11.54296875" style="130" customWidth="1"/>
    <col min="74" max="74" width="23.1796875" style="130" bestFit="1" customWidth="1"/>
    <col min="75" max="75" width="22.54296875" style="130" bestFit="1" customWidth="1"/>
    <col min="76" max="76" width="23.26953125" style="130" bestFit="1" customWidth="1"/>
    <col min="77" max="77" width="17.1796875" style="130" bestFit="1" customWidth="1"/>
    <col min="78" max="78" width="10.453125" style="149" bestFit="1" customWidth="1"/>
    <col min="79" max="79" width="20.26953125" style="130" customWidth="1"/>
    <col min="80" max="80" width="4.26953125" style="141" customWidth="1"/>
    <col min="81" max="81" width="13" style="130" bestFit="1" customWidth="1"/>
    <col min="82" max="82" width="21.453125" style="130" bestFit="1" customWidth="1"/>
    <col min="83" max="83" width="14.453125" style="130" customWidth="1"/>
    <col min="84" max="84" width="8.1796875" style="130" bestFit="1" customWidth="1"/>
    <col min="85" max="85" width="9.1796875" style="130" bestFit="1" customWidth="1"/>
    <col min="86" max="86" width="18.54296875" style="130" bestFit="1" customWidth="1"/>
    <col min="87" max="87" width="9.453125" style="130" bestFit="1" customWidth="1"/>
    <col min="88" max="88" width="12" style="145" bestFit="1" customWidth="1"/>
    <col min="89" max="89" width="4.1796875" style="141" bestFit="1" customWidth="1"/>
    <col min="90" max="90" width="19.26953125" style="130" bestFit="1" customWidth="1"/>
    <col min="91" max="91" width="10.453125" style="130" bestFit="1" customWidth="1"/>
    <col min="92" max="92" width="3.54296875" style="130" customWidth="1"/>
    <col min="93" max="93" width="10.81640625" style="142" bestFit="1" customWidth="1"/>
    <col min="94" max="94" width="17" style="130" bestFit="1" customWidth="1"/>
    <col min="95" max="95" width="16.453125" style="130" bestFit="1" customWidth="1"/>
    <col min="96" max="98" width="3.26953125" style="141" bestFit="1" customWidth="1"/>
    <col min="99" max="99" width="14.7265625" style="130" bestFit="1" customWidth="1"/>
    <col min="100" max="100" width="10.453125" style="130" bestFit="1" customWidth="1"/>
    <col min="101" max="101" width="13.54296875" style="141" bestFit="1" customWidth="1"/>
    <col min="102" max="102" width="15.26953125" style="130" bestFit="1" customWidth="1"/>
    <col min="103" max="103" width="11.1796875" style="130" bestFit="1" customWidth="1"/>
    <col min="104" max="104" width="10.453125" style="130" bestFit="1" customWidth="1"/>
    <col min="105" max="105" width="9.7265625" style="130" bestFit="1" customWidth="1"/>
    <col min="106" max="106" width="11" style="130" customWidth="1"/>
    <col min="107" max="107" width="10.26953125" style="130" customWidth="1"/>
    <col min="108" max="108" width="11.26953125" style="139" bestFit="1" customWidth="1"/>
    <col min="109" max="109" width="9.1796875" style="150"/>
    <col min="110" max="110" width="9.1796875" style="141"/>
    <col min="111" max="111" width="16.7265625" style="130" bestFit="1" customWidth="1"/>
    <col min="112" max="112" width="33" style="130" bestFit="1" customWidth="1"/>
    <col min="113" max="113" width="9.1796875" style="130"/>
    <col min="114" max="114" width="27.81640625" style="130" bestFit="1" customWidth="1"/>
    <col min="115" max="116" width="9.1796875" style="130"/>
    <col min="117" max="117" width="11.54296875" style="130" customWidth="1"/>
    <col min="118" max="118" width="23.1796875" style="130" bestFit="1" customWidth="1"/>
    <col min="119" max="119" width="22.54296875" style="130" bestFit="1" customWidth="1"/>
    <col min="120" max="120" width="23.26953125" style="130" bestFit="1" customWidth="1"/>
    <col min="121" max="121" width="18.26953125" style="130" bestFit="1" customWidth="1"/>
    <col min="122" max="122" width="10.453125" style="149" bestFit="1" customWidth="1"/>
    <col min="123" max="123" width="13.26953125" style="130" bestFit="1" customWidth="1"/>
    <col min="124" max="124" width="3.7265625" style="141" customWidth="1"/>
    <col min="125" max="125" width="13" style="130" bestFit="1" customWidth="1"/>
    <col min="126" max="126" width="21.453125" style="183" bestFit="1" customWidth="1"/>
    <col min="127" max="127" width="13.453125" style="130" bestFit="1" customWidth="1"/>
    <col min="128" max="128" width="9.1796875" style="130"/>
    <col min="129" max="129" width="10.26953125" style="130" bestFit="1" customWidth="1"/>
    <col min="130" max="130" width="18.54296875" style="130" bestFit="1" customWidth="1"/>
    <col min="131" max="131" width="10.26953125" style="130" bestFit="1" customWidth="1"/>
    <col min="132" max="132" width="12" style="130" bestFit="1" customWidth="1"/>
    <col min="133" max="133" width="4" style="141" customWidth="1"/>
    <col min="134" max="134" width="19.26953125" style="130" bestFit="1" customWidth="1"/>
    <col min="135" max="135" width="17.7265625" style="148" customWidth="1"/>
    <col min="136" max="137" width="17.7265625" style="130" bestFit="1" customWidth="1"/>
    <col min="138" max="140" width="9.81640625" style="134" customWidth="1"/>
    <col min="141" max="141" width="13.54296875" style="134" bestFit="1" customWidth="1"/>
    <col min="142" max="142" width="24.54296875" style="134" bestFit="1" customWidth="1"/>
    <col min="143" max="143" width="25.26953125" style="134" bestFit="1" customWidth="1"/>
    <col min="144" max="144" width="13.54296875" style="137" bestFit="1" customWidth="1"/>
    <col min="145" max="145" width="28.1796875" style="137" bestFit="1" customWidth="1"/>
    <col min="146" max="146" width="28.7265625" style="137" bestFit="1" customWidth="1"/>
    <col min="147" max="147" width="13.54296875" style="183" bestFit="1" customWidth="1"/>
    <col min="148" max="148" width="28.1796875" style="130" bestFit="1" customWidth="1"/>
    <col min="149" max="149" width="28.7265625" style="130" bestFit="1" customWidth="1"/>
    <col min="150" max="150" width="20.453125" style="134" bestFit="1" customWidth="1"/>
    <col min="151" max="151" width="24" style="134" bestFit="1" customWidth="1"/>
    <col min="152" max="152" width="20.453125" style="154" bestFit="1" customWidth="1"/>
    <col min="153" max="153" width="24" style="154" bestFit="1" customWidth="1"/>
    <col min="154" max="154" width="20.453125" style="154" bestFit="1" customWidth="1"/>
    <col min="155" max="155" width="24" style="154" bestFit="1" customWidth="1"/>
    <col min="156" max="156" width="8.453125" style="130" bestFit="1" customWidth="1"/>
    <col min="157" max="157" width="9.7265625" style="130" bestFit="1" customWidth="1"/>
    <col min="158" max="158" width="9.81640625" style="130" bestFit="1" customWidth="1"/>
    <col min="159" max="159" width="10.81640625" style="130" bestFit="1" customWidth="1"/>
    <col min="160" max="160" width="9.1796875" style="130"/>
    <col min="161" max="161" width="9.7265625" style="130" bestFit="1" customWidth="1"/>
    <col min="162" max="162" width="9.81640625" style="130" bestFit="1" customWidth="1"/>
    <col min="163" max="163" width="10.81640625" style="130" bestFit="1" customWidth="1"/>
    <col min="164" max="164" width="9.1796875" style="130"/>
    <col min="165" max="165" width="9.7265625" style="130" bestFit="1" customWidth="1"/>
    <col min="166" max="166" width="9.81640625" style="130" bestFit="1" customWidth="1"/>
    <col min="167" max="167" width="10.81640625" style="130" bestFit="1" customWidth="1"/>
    <col min="168" max="168" width="14.26953125" style="134" bestFit="1" customWidth="1"/>
    <col min="169" max="169" width="14.26953125" style="155" bestFit="1" customWidth="1"/>
    <col min="170" max="170" width="14.26953125" style="139" bestFit="1" customWidth="1"/>
    <col min="171" max="171" width="11.81640625" style="171" bestFit="1" customWidth="1"/>
    <col min="172" max="172" width="11.81640625" style="3" bestFit="1" customWidth="1"/>
    <col min="175" max="175" width="12.81640625" customWidth="1"/>
  </cols>
  <sheetData>
    <row r="1" spans="1:185" x14ac:dyDescent="0.35">
      <c r="C1" s="178">
        <v>2018</v>
      </c>
      <c r="D1" s="141"/>
      <c r="E1" s="143">
        <v>92</v>
      </c>
      <c r="F1" s="130">
        <v>93</v>
      </c>
      <c r="G1" s="143">
        <v>94</v>
      </c>
      <c r="H1" s="141">
        <v>95</v>
      </c>
      <c r="I1" s="144">
        <v>96</v>
      </c>
      <c r="J1" s="141">
        <v>97</v>
      </c>
      <c r="K1" s="143">
        <v>98</v>
      </c>
      <c r="L1" s="130">
        <v>99</v>
      </c>
      <c r="M1" s="143">
        <v>100</v>
      </c>
      <c r="N1" s="130">
        <v>101</v>
      </c>
      <c r="O1" s="143">
        <v>102</v>
      </c>
      <c r="P1" s="130">
        <v>103</v>
      </c>
      <c r="Q1" s="143">
        <v>104</v>
      </c>
      <c r="R1" s="130">
        <v>105</v>
      </c>
      <c r="S1" s="143">
        <v>106</v>
      </c>
      <c r="T1" s="130">
        <v>107</v>
      </c>
      <c r="U1" s="143">
        <v>108</v>
      </c>
      <c r="W1" s="143">
        <v>110</v>
      </c>
      <c r="X1" s="130">
        <v>111</v>
      </c>
      <c r="Y1" s="143">
        <v>112</v>
      </c>
      <c r="Z1" s="130">
        <v>113</v>
      </c>
      <c r="AA1" s="143">
        <v>114</v>
      </c>
      <c r="AB1" s="130">
        <v>115</v>
      </c>
      <c r="AC1" s="143">
        <v>116</v>
      </c>
      <c r="AD1" s="130">
        <v>117</v>
      </c>
      <c r="AE1" s="143">
        <v>118</v>
      </c>
      <c r="AF1" s="130">
        <v>119</v>
      </c>
      <c r="AG1" s="143">
        <v>120</v>
      </c>
      <c r="AH1" s="130">
        <v>121</v>
      </c>
      <c r="AI1" s="143">
        <v>122</v>
      </c>
      <c r="AK1" s="143">
        <v>124</v>
      </c>
      <c r="AL1" s="130">
        <v>125</v>
      </c>
      <c r="AM1" s="143">
        <v>126</v>
      </c>
      <c r="AN1" s="130">
        <v>127</v>
      </c>
      <c r="AO1" s="143">
        <v>128</v>
      </c>
      <c r="AP1" s="130">
        <v>129</v>
      </c>
      <c r="AQ1" s="143">
        <v>130</v>
      </c>
      <c r="AR1" s="130">
        <v>131</v>
      </c>
      <c r="AS1" s="144">
        <v>132</v>
      </c>
      <c r="AT1" s="130">
        <v>133</v>
      </c>
      <c r="AU1" s="178">
        <v>2019</v>
      </c>
      <c r="AV1" s="141"/>
      <c r="AW1" s="143">
        <v>92</v>
      </c>
      <c r="AX1" s="130">
        <v>93</v>
      </c>
      <c r="AY1" s="143">
        <v>94</v>
      </c>
      <c r="AZ1" s="141">
        <v>95</v>
      </c>
      <c r="BA1" s="144">
        <v>96</v>
      </c>
      <c r="BB1" s="141">
        <v>97</v>
      </c>
      <c r="BC1" s="143">
        <v>98</v>
      </c>
      <c r="BD1" s="130">
        <v>99</v>
      </c>
      <c r="BE1" s="143">
        <v>100</v>
      </c>
      <c r="BF1" s="130">
        <v>101</v>
      </c>
      <c r="BG1" s="143">
        <v>102</v>
      </c>
      <c r="BH1" s="130">
        <v>103</v>
      </c>
      <c r="BI1" s="143">
        <v>104</v>
      </c>
      <c r="BJ1" s="130">
        <v>105</v>
      </c>
      <c r="BK1" s="143">
        <v>106</v>
      </c>
      <c r="BL1" s="139">
        <v>107</v>
      </c>
      <c r="BM1" s="143">
        <v>108</v>
      </c>
      <c r="BN1" s="141">
        <v>109</v>
      </c>
      <c r="BO1" s="143">
        <v>110</v>
      </c>
      <c r="BP1" s="130">
        <v>111</v>
      </c>
      <c r="BQ1" s="143">
        <v>112</v>
      </c>
      <c r="BR1" s="130">
        <v>113</v>
      </c>
      <c r="BS1" s="143">
        <v>114</v>
      </c>
      <c r="BT1" s="130">
        <v>115</v>
      </c>
      <c r="BU1" s="143">
        <v>116</v>
      </c>
      <c r="BV1" s="130">
        <v>117</v>
      </c>
      <c r="BW1" s="143">
        <v>118</v>
      </c>
      <c r="BX1" s="130">
        <v>119</v>
      </c>
      <c r="BY1" s="143">
        <v>120</v>
      </c>
      <c r="BZ1" s="130">
        <v>121</v>
      </c>
      <c r="CA1" s="143">
        <v>122</v>
      </c>
      <c r="CB1" s="141">
        <v>123</v>
      </c>
      <c r="CC1" s="143">
        <v>124</v>
      </c>
      <c r="CD1" s="130">
        <v>125</v>
      </c>
      <c r="CE1" s="143">
        <v>126</v>
      </c>
      <c r="CF1" s="130">
        <v>127</v>
      </c>
      <c r="CG1" s="143">
        <v>128</v>
      </c>
      <c r="CH1" s="130">
        <v>129</v>
      </c>
      <c r="CI1" s="143">
        <v>130</v>
      </c>
      <c r="CJ1" s="143">
        <v>131</v>
      </c>
      <c r="CK1" s="144">
        <v>132</v>
      </c>
      <c r="CL1" s="130">
        <v>133</v>
      </c>
      <c r="CM1" s="178">
        <v>2020</v>
      </c>
      <c r="CN1" s="141"/>
      <c r="CO1" s="143">
        <v>92</v>
      </c>
      <c r="CP1" s="130">
        <v>93</v>
      </c>
      <c r="CQ1" s="143">
        <v>94</v>
      </c>
      <c r="CR1" s="141">
        <v>95</v>
      </c>
      <c r="CS1" s="144">
        <v>96</v>
      </c>
      <c r="CT1" s="141">
        <v>97</v>
      </c>
      <c r="CU1" s="143">
        <v>98</v>
      </c>
      <c r="CV1" s="130">
        <v>99</v>
      </c>
      <c r="CW1" s="143">
        <v>100</v>
      </c>
      <c r="CX1" s="130">
        <v>101</v>
      </c>
      <c r="CY1" s="143">
        <v>102</v>
      </c>
      <c r="CZ1" s="130">
        <v>103</v>
      </c>
      <c r="DA1" s="143">
        <v>104</v>
      </c>
      <c r="DB1" s="130">
        <v>105</v>
      </c>
      <c r="DC1" s="143">
        <v>106</v>
      </c>
      <c r="DD1" s="139">
        <v>107</v>
      </c>
      <c r="DE1" s="143">
        <v>108</v>
      </c>
      <c r="DF1" s="141" t="s">
        <v>369</v>
      </c>
      <c r="DG1" s="143">
        <v>110</v>
      </c>
      <c r="DH1" s="130">
        <v>111</v>
      </c>
      <c r="DI1" s="143">
        <v>112</v>
      </c>
      <c r="DJ1" s="130">
        <v>113</v>
      </c>
      <c r="DK1" s="143">
        <v>114</v>
      </c>
      <c r="DL1" s="130">
        <v>115</v>
      </c>
      <c r="DM1" s="143">
        <v>116</v>
      </c>
      <c r="DN1" s="130">
        <v>117</v>
      </c>
      <c r="DO1" s="143">
        <v>118</v>
      </c>
      <c r="DP1" s="130">
        <v>119</v>
      </c>
      <c r="DQ1" s="143">
        <v>120</v>
      </c>
      <c r="DR1" s="130">
        <v>121</v>
      </c>
      <c r="DS1" s="143">
        <v>122</v>
      </c>
      <c r="DT1" s="141">
        <v>123</v>
      </c>
      <c r="DU1" s="143">
        <v>124</v>
      </c>
      <c r="DV1" s="183">
        <v>125</v>
      </c>
      <c r="DW1" s="143">
        <v>126</v>
      </c>
      <c r="DX1" s="130">
        <v>127</v>
      </c>
      <c r="DY1" s="143">
        <v>128</v>
      </c>
      <c r="DZ1" s="130">
        <v>129</v>
      </c>
      <c r="EA1" s="143">
        <v>130</v>
      </c>
      <c r="EB1" s="130">
        <v>131</v>
      </c>
      <c r="EC1" s="144">
        <v>132</v>
      </c>
      <c r="ED1" s="130">
        <v>133</v>
      </c>
      <c r="EE1" s="166" t="s">
        <v>368</v>
      </c>
      <c r="EF1" s="130">
        <v>135</v>
      </c>
      <c r="EG1" s="130">
        <v>136</v>
      </c>
      <c r="EH1" s="130">
        <v>137</v>
      </c>
      <c r="EI1" s="130">
        <v>138</v>
      </c>
      <c r="EJ1" s="130">
        <v>139</v>
      </c>
      <c r="EK1" s="196">
        <v>2018</v>
      </c>
      <c r="EL1" s="130">
        <v>144</v>
      </c>
      <c r="EM1" s="130">
        <v>145</v>
      </c>
      <c r="EN1" s="196">
        <v>2019</v>
      </c>
      <c r="EO1" s="130">
        <v>147</v>
      </c>
      <c r="EP1" s="130">
        <v>148</v>
      </c>
      <c r="EQ1" s="197">
        <v>2020</v>
      </c>
      <c r="ER1" s="130">
        <v>147</v>
      </c>
      <c r="ES1" s="130">
        <v>148</v>
      </c>
      <c r="ET1" s="169">
        <v>2018</v>
      </c>
      <c r="EU1" s="136">
        <v>152</v>
      </c>
      <c r="EV1" s="169">
        <v>2019</v>
      </c>
      <c r="EW1" s="136">
        <v>154</v>
      </c>
      <c r="EX1" s="169">
        <v>2020</v>
      </c>
      <c r="EY1" s="136"/>
      <c r="EZ1" s="196">
        <v>2018</v>
      </c>
      <c r="FA1" s="130">
        <v>160</v>
      </c>
      <c r="FB1" s="130">
        <v>161</v>
      </c>
      <c r="FC1" s="130">
        <v>162</v>
      </c>
      <c r="FD1" s="196">
        <v>2019</v>
      </c>
      <c r="FE1" s="130">
        <v>164</v>
      </c>
      <c r="FF1" s="130">
        <v>165</v>
      </c>
      <c r="FG1" s="130">
        <v>166</v>
      </c>
      <c r="FH1" s="196">
        <v>2020</v>
      </c>
      <c r="FI1" s="130">
        <v>164</v>
      </c>
      <c r="FJ1" s="130">
        <v>165</v>
      </c>
      <c r="FK1" s="130">
        <v>166</v>
      </c>
      <c r="FL1" s="176">
        <v>2018</v>
      </c>
      <c r="FM1" s="176">
        <v>2019</v>
      </c>
      <c r="FN1" s="176">
        <v>2020</v>
      </c>
      <c r="FO1" s="173" t="s">
        <v>375</v>
      </c>
      <c r="FP1" s="130" t="s">
        <v>375</v>
      </c>
      <c r="FS1" s="2"/>
    </row>
    <row r="2" spans="1:185" s="2" customFormat="1" ht="12.5" x14ac:dyDescent="0.25">
      <c r="A2" s="77" t="s">
        <v>350</v>
      </c>
      <c r="B2" s="2" t="s">
        <v>0</v>
      </c>
      <c r="C2" s="178" t="s">
        <v>383</v>
      </c>
      <c r="D2" s="141"/>
      <c r="E2" s="142" t="s">
        <v>306</v>
      </c>
      <c r="F2" s="130" t="s">
        <v>307</v>
      </c>
      <c r="G2" s="130" t="s">
        <v>349</v>
      </c>
      <c r="H2" s="141"/>
      <c r="I2" s="141"/>
      <c r="J2" s="141"/>
      <c r="K2" s="130" t="s">
        <v>328</v>
      </c>
      <c r="L2" s="130" t="s">
        <v>355</v>
      </c>
      <c r="M2" s="130" t="s">
        <v>305</v>
      </c>
      <c r="N2" s="130" t="s">
        <v>329</v>
      </c>
      <c r="O2" s="130" t="s">
        <v>324</v>
      </c>
      <c r="P2" s="130" t="s">
        <v>287</v>
      </c>
      <c r="Q2" s="130" t="s">
        <v>288</v>
      </c>
      <c r="R2" s="130" t="s">
        <v>289</v>
      </c>
      <c r="S2" s="130" t="s">
        <v>290</v>
      </c>
      <c r="T2" s="130" t="s">
        <v>291</v>
      </c>
      <c r="U2" s="150" t="s">
        <v>286</v>
      </c>
      <c r="V2" s="141"/>
      <c r="W2" s="130" t="s">
        <v>304</v>
      </c>
      <c r="X2" s="130" t="s">
        <v>352</v>
      </c>
      <c r="Y2" s="130" t="s">
        <v>293</v>
      </c>
      <c r="Z2" s="130" t="s">
        <v>327</v>
      </c>
      <c r="AA2" s="130" t="s">
        <v>309</v>
      </c>
      <c r="AB2" s="130" t="s">
        <v>310</v>
      </c>
      <c r="AC2" s="130" t="s">
        <v>294</v>
      </c>
      <c r="AD2" s="130" t="s">
        <v>295</v>
      </c>
      <c r="AE2" s="130" t="s">
        <v>296</v>
      </c>
      <c r="AF2" s="130" t="s">
        <v>297</v>
      </c>
      <c r="AG2" s="130" t="s">
        <v>298</v>
      </c>
      <c r="AH2" s="130" t="s">
        <v>351</v>
      </c>
      <c r="AI2" s="130" t="s">
        <v>356</v>
      </c>
      <c r="AJ2" s="141"/>
      <c r="AK2" s="130" t="s">
        <v>389</v>
      </c>
      <c r="AL2" s="130" t="s">
        <v>301</v>
      </c>
      <c r="AM2" s="130" t="s">
        <v>353</v>
      </c>
      <c r="AN2" s="130" t="s">
        <v>290</v>
      </c>
      <c r="AO2" s="130" t="s">
        <v>312</v>
      </c>
      <c r="AP2" s="130" t="s">
        <v>318</v>
      </c>
      <c r="AQ2" s="130" t="s">
        <v>314</v>
      </c>
      <c r="AR2" s="130" t="s">
        <v>317</v>
      </c>
      <c r="AS2" s="141"/>
      <c r="AT2" s="130" t="s">
        <v>316</v>
      </c>
      <c r="AU2" s="178" t="s">
        <v>383</v>
      </c>
      <c r="AV2" s="141"/>
      <c r="AW2" s="142" t="s">
        <v>306</v>
      </c>
      <c r="AX2" s="130" t="s">
        <v>401</v>
      </c>
      <c r="AY2" s="130" t="s">
        <v>349</v>
      </c>
      <c r="AZ2" s="141"/>
      <c r="BA2" s="141"/>
      <c r="BB2" s="141"/>
      <c r="BC2" s="130" t="s">
        <v>328</v>
      </c>
      <c r="BD2" s="130" t="s">
        <v>355</v>
      </c>
      <c r="BE2" s="130" t="s">
        <v>305</v>
      </c>
      <c r="BF2" s="130" t="s">
        <v>329</v>
      </c>
      <c r="BG2" s="130" t="s">
        <v>324</v>
      </c>
      <c r="BH2" s="130" t="s">
        <v>287</v>
      </c>
      <c r="BI2" s="130" t="s">
        <v>288</v>
      </c>
      <c r="BJ2" s="130" t="s">
        <v>289</v>
      </c>
      <c r="BK2" s="130" t="s">
        <v>290</v>
      </c>
      <c r="BL2" s="139" t="s">
        <v>291</v>
      </c>
      <c r="BM2" s="150"/>
      <c r="BN2" s="141"/>
      <c r="BO2" s="130" t="s">
        <v>304</v>
      </c>
      <c r="BP2" s="130" t="s">
        <v>352</v>
      </c>
      <c r="BQ2" s="130" t="s">
        <v>293</v>
      </c>
      <c r="BR2" s="130" t="s">
        <v>327</v>
      </c>
      <c r="BS2" s="130" t="s">
        <v>379</v>
      </c>
      <c r="BT2" s="130" t="s">
        <v>380</v>
      </c>
      <c r="BU2" s="130" t="s">
        <v>294</v>
      </c>
      <c r="BV2" s="130" t="s">
        <v>295</v>
      </c>
      <c r="BW2" s="130" t="s">
        <v>296</v>
      </c>
      <c r="BX2" s="130" t="s">
        <v>297</v>
      </c>
      <c r="BY2" s="130" t="s">
        <v>298</v>
      </c>
      <c r="BZ2" s="130" t="s">
        <v>351</v>
      </c>
      <c r="CA2" s="130" t="s">
        <v>356</v>
      </c>
      <c r="CB2" s="141"/>
      <c r="CC2" s="130" t="s">
        <v>389</v>
      </c>
      <c r="CD2" s="130" t="s">
        <v>301</v>
      </c>
      <c r="CE2" s="130" t="s">
        <v>353</v>
      </c>
      <c r="CF2" s="130" t="s">
        <v>290</v>
      </c>
      <c r="CG2" s="130" t="s">
        <v>312</v>
      </c>
      <c r="CH2" s="130" t="s">
        <v>318</v>
      </c>
      <c r="CI2" s="130" t="s">
        <v>314</v>
      </c>
      <c r="CJ2" s="145" t="s">
        <v>393</v>
      </c>
      <c r="CK2" s="141"/>
      <c r="CL2" s="130" t="s">
        <v>316</v>
      </c>
      <c r="CM2" s="178" t="s">
        <v>1</v>
      </c>
      <c r="CN2" s="141"/>
      <c r="CO2" s="142" t="s">
        <v>306</v>
      </c>
      <c r="CP2" s="130" t="s">
        <v>401</v>
      </c>
      <c r="CQ2" s="130" t="s">
        <v>349</v>
      </c>
      <c r="CR2" s="141"/>
      <c r="CS2" s="141"/>
      <c r="CT2" s="141"/>
      <c r="CU2" s="130" t="s">
        <v>328</v>
      </c>
      <c r="CV2" s="130" t="s">
        <v>355</v>
      </c>
      <c r="CW2" s="130" t="s">
        <v>305</v>
      </c>
      <c r="CX2" s="130" t="s">
        <v>329</v>
      </c>
      <c r="CY2" s="130" t="s">
        <v>324</v>
      </c>
      <c r="CZ2" s="130" t="s">
        <v>287</v>
      </c>
      <c r="DA2" s="130" t="s">
        <v>288</v>
      </c>
      <c r="DB2" s="130" t="s">
        <v>289</v>
      </c>
      <c r="DC2" s="130" t="s">
        <v>290</v>
      </c>
      <c r="DD2" s="139" t="s">
        <v>291</v>
      </c>
      <c r="DE2" s="150" t="s">
        <v>286</v>
      </c>
      <c r="DF2" s="141" t="s">
        <v>292</v>
      </c>
      <c r="DG2" s="130" t="s">
        <v>304</v>
      </c>
      <c r="DH2" s="130" t="s">
        <v>352</v>
      </c>
      <c r="DI2" s="130" t="s">
        <v>293</v>
      </c>
      <c r="DJ2" s="130" t="s">
        <v>327</v>
      </c>
      <c r="DK2" s="130" t="s">
        <v>379</v>
      </c>
      <c r="DL2" s="130" t="s">
        <v>380</v>
      </c>
      <c r="DM2" s="130" t="s">
        <v>294</v>
      </c>
      <c r="DN2" s="130" t="s">
        <v>295</v>
      </c>
      <c r="DO2" s="130" t="s">
        <v>296</v>
      </c>
      <c r="DP2" s="130" t="s">
        <v>297</v>
      </c>
      <c r="DQ2" s="130" t="s">
        <v>298</v>
      </c>
      <c r="DR2" s="130" t="s">
        <v>351</v>
      </c>
      <c r="DS2" s="130" t="s">
        <v>385</v>
      </c>
      <c r="DT2" s="141"/>
      <c r="DU2" s="130" t="s">
        <v>389</v>
      </c>
      <c r="DV2" s="183" t="s">
        <v>301</v>
      </c>
      <c r="DW2" s="130" t="s">
        <v>353</v>
      </c>
      <c r="DX2" s="130" t="s">
        <v>290</v>
      </c>
      <c r="DY2" s="130" t="s">
        <v>312</v>
      </c>
      <c r="DZ2" s="130" t="s">
        <v>318</v>
      </c>
      <c r="EA2" s="130" t="s">
        <v>314</v>
      </c>
      <c r="EB2" s="130" t="s">
        <v>393</v>
      </c>
      <c r="EC2" s="141"/>
      <c r="ED2" s="130" t="s">
        <v>316</v>
      </c>
      <c r="EE2" s="132" t="s">
        <v>390</v>
      </c>
      <c r="EF2" s="132" t="s">
        <v>394</v>
      </c>
      <c r="EG2" s="132" t="s">
        <v>403</v>
      </c>
      <c r="EH2" s="132" t="s">
        <v>391</v>
      </c>
      <c r="EI2" s="132" t="s">
        <v>395</v>
      </c>
      <c r="EJ2" s="132" t="s">
        <v>402</v>
      </c>
      <c r="EK2" s="152" t="s">
        <v>336</v>
      </c>
      <c r="EL2" s="152" t="s">
        <v>381</v>
      </c>
      <c r="EM2" s="152" t="s">
        <v>382</v>
      </c>
      <c r="EN2" s="152" t="s">
        <v>336</v>
      </c>
      <c r="EO2" s="152" t="s">
        <v>337</v>
      </c>
      <c r="EP2" s="152" t="s">
        <v>338</v>
      </c>
      <c r="EQ2" s="198" t="s">
        <v>336</v>
      </c>
      <c r="ER2" s="152" t="s">
        <v>337</v>
      </c>
      <c r="ES2" s="152" t="s">
        <v>338</v>
      </c>
      <c r="ET2" s="153" t="s">
        <v>339</v>
      </c>
      <c r="EU2" s="153" t="s">
        <v>340</v>
      </c>
      <c r="EV2" s="153" t="s">
        <v>339</v>
      </c>
      <c r="EW2" s="153" t="s">
        <v>340</v>
      </c>
      <c r="EX2" s="153" t="s">
        <v>339</v>
      </c>
      <c r="EY2" s="153" t="s">
        <v>340</v>
      </c>
      <c r="EZ2" s="124" t="s">
        <v>342</v>
      </c>
      <c r="FA2" s="124" t="s">
        <v>347</v>
      </c>
      <c r="FB2" s="124" t="s">
        <v>354</v>
      </c>
      <c r="FC2" s="124" t="s">
        <v>346</v>
      </c>
      <c r="FD2" s="124" t="s">
        <v>342</v>
      </c>
      <c r="FE2" s="124" t="s">
        <v>347</v>
      </c>
      <c r="FF2" s="124" t="s">
        <v>354</v>
      </c>
      <c r="FG2" s="124" t="s">
        <v>346</v>
      </c>
      <c r="FH2" s="124" t="s">
        <v>342</v>
      </c>
      <c r="FI2" s="124" t="s">
        <v>347</v>
      </c>
      <c r="FJ2" s="124" t="s">
        <v>354</v>
      </c>
      <c r="FK2" s="124" t="s">
        <v>346</v>
      </c>
      <c r="FL2" s="140" t="s">
        <v>348</v>
      </c>
      <c r="FM2" s="140" t="s">
        <v>348</v>
      </c>
      <c r="FN2" s="140" t="s">
        <v>348</v>
      </c>
      <c r="FO2" s="174" t="s">
        <v>374</v>
      </c>
      <c r="FP2" s="130" t="s">
        <v>376</v>
      </c>
    </row>
    <row r="3" spans="1:185" s="2" customFormat="1" ht="13" x14ac:dyDescent="0.3">
      <c r="A3" s="77">
        <v>20</v>
      </c>
      <c r="B3" s="81" t="s">
        <v>334</v>
      </c>
      <c r="C3" s="179">
        <v>16611</v>
      </c>
      <c r="D3" s="139"/>
      <c r="E3" s="142">
        <v>0.40412044374009509</v>
      </c>
      <c r="F3" s="142">
        <v>62.298129324180955</v>
      </c>
      <c r="G3" s="183">
        <v>-3676.9008488351092</v>
      </c>
      <c r="H3" s="142"/>
      <c r="I3" s="142"/>
      <c r="J3" s="142"/>
      <c r="K3" s="210">
        <v>25.829980420423006</v>
      </c>
      <c r="L3" s="143">
        <v>248.63042562157605</v>
      </c>
      <c r="M3" s="143">
        <v>12.614538790470373</v>
      </c>
      <c r="N3" s="143">
        <v>7194.0882547709352</v>
      </c>
      <c r="O3" s="139">
        <v>44053</v>
      </c>
      <c r="P3" s="143">
        <v>20752</v>
      </c>
      <c r="Q3" s="183">
        <v>108994</v>
      </c>
      <c r="R3" s="184">
        <v>-88242</v>
      </c>
      <c r="S3" s="139">
        <v>59625</v>
      </c>
      <c r="T3" s="139">
        <v>29905</v>
      </c>
      <c r="U3" s="150"/>
      <c r="V3" s="141"/>
      <c r="W3" s="183">
        <v>62</v>
      </c>
      <c r="X3" s="183">
        <v>878</v>
      </c>
      <c r="Y3" s="183">
        <v>2228</v>
      </c>
      <c r="Z3" s="130">
        <v>4577</v>
      </c>
      <c r="AA3" s="130">
        <v>0</v>
      </c>
      <c r="AB3" s="130">
        <v>0</v>
      </c>
      <c r="AC3" s="183">
        <v>-2349</v>
      </c>
      <c r="AD3" s="183">
        <v>27</v>
      </c>
      <c r="AE3" s="183">
        <v>0</v>
      </c>
      <c r="AF3" s="183">
        <v>0</v>
      </c>
      <c r="AG3" s="183">
        <v>-2322</v>
      </c>
      <c r="AH3" s="183">
        <v>-8886</v>
      </c>
      <c r="AI3" s="183">
        <v>1932</v>
      </c>
      <c r="AJ3" s="141"/>
      <c r="AK3" s="183">
        <v>398</v>
      </c>
      <c r="AL3" s="183">
        <v>-5988</v>
      </c>
      <c r="AM3" s="180">
        <v>-1357</v>
      </c>
      <c r="AN3" s="139">
        <v>59625</v>
      </c>
      <c r="AO3" s="139">
        <v>54693</v>
      </c>
      <c r="AP3" s="183">
        <v>1613</v>
      </c>
      <c r="AQ3" s="139">
        <v>3319</v>
      </c>
      <c r="AR3" s="145">
        <v>21.75</v>
      </c>
      <c r="AS3" s="143"/>
      <c r="AT3" s="139">
        <v>206</v>
      </c>
      <c r="AU3" s="228">
        <v>16475</v>
      </c>
      <c r="AV3" s="139"/>
      <c r="AW3" s="224">
        <v>0.80323175774540367</v>
      </c>
      <c r="AX3" s="225">
        <v>59.075532601678503</v>
      </c>
      <c r="AY3" s="139">
        <v>-3668.7101669195749</v>
      </c>
      <c r="AZ3" s="143"/>
      <c r="BA3" s="143"/>
      <c r="BB3" s="143"/>
      <c r="BC3" s="189">
        <v>25.899652860130661</v>
      </c>
      <c r="BD3" s="183">
        <v>178.69499241274659</v>
      </c>
      <c r="BE3" s="139">
        <v>8.8358974780656681</v>
      </c>
      <c r="BF3" s="139">
        <v>7381.6691957511384</v>
      </c>
      <c r="BG3" s="183">
        <v>44817</v>
      </c>
      <c r="BH3" s="216">
        <v>21733</v>
      </c>
      <c r="BI3" s="216">
        <v>110542</v>
      </c>
      <c r="BJ3" s="216">
        <v>-88791</v>
      </c>
      <c r="BK3" s="216">
        <v>62993</v>
      </c>
      <c r="BL3" s="216">
        <v>31449</v>
      </c>
      <c r="BM3" s="143"/>
      <c r="BN3" s="143"/>
      <c r="BO3" s="216">
        <v>85</v>
      </c>
      <c r="BP3" s="216">
        <v>321</v>
      </c>
      <c r="BQ3" s="216">
        <v>6057</v>
      </c>
      <c r="BR3" s="216">
        <v>6043</v>
      </c>
      <c r="BS3" s="216">
        <v>0</v>
      </c>
      <c r="BT3" s="216">
        <v>0</v>
      </c>
      <c r="BU3" s="216">
        <v>14</v>
      </c>
      <c r="BV3" s="183">
        <v>26</v>
      </c>
      <c r="BW3" s="183">
        <v>0</v>
      </c>
      <c r="BX3" s="183">
        <v>0</v>
      </c>
      <c r="BY3" s="183">
        <v>40</v>
      </c>
      <c r="BZ3" s="183">
        <v>-8846</v>
      </c>
      <c r="CA3" s="183">
        <v>5908</v>
      </c>
      <c r="CB3" s="141"/>
      <c r="CC3" s="183">
        <v>-1750</v>
      </c>
      <c r="CD3" s="183">
        <v>-5507</v>
      </c>
      <c r="CE3" s="180">
        <v>778</v>
      </c>
      <c r="CF3" s="139">
        <v>62993</v>
      </c>
      <c r="CG3" s="216">
        <v>57840</v>
      </c>
      <c r="CH3" s="216">
        <v>1596</v>
      </c>
      <c r="CI3" s="216">
        <v>3557</v>
      </c>
      <c r="CJ3" s="212">
        <v>22.25</v>
      </c>
      <c r="CK3" s="143"/>
      <c r="CL3" s="130">
        <v>66</v>
      </c>
      <c r="CM3" s="228">
        <v>16391</v>
      </c>
      <c r="CN3" s="139"/>
      <c r="CO3" s="142">
        <v>3.2927056196501674</v>
      </c>
      <c r="CP3" s="142">
        <v>54.56404061055224</v>
      </c>
      <c r="CQ3" s="183">
        <v>-3487.7066682935756</v>
      </c>
      <c r="CR3" s="144"/>
      <c r="CS3"/>
      <c r="CT3" s="141"/>
      <c r="CU3" s="232">
        <v>33.645378594008733</v>
      </c>
      <c r="CV3" s="143">
        <v>528.5827588310658</v>
      </c>
      <c r="CW3" s="143">
        <v>23.687735015205764</v>
      </c>
      <c r="CX3" s="143">
        <v>8144.8355805014944</v>
      </c>
      <c r="CY3" s="130">
        <v>44739</v>
      </c>
      <c r="CZ3" s="229">
        <v>28305</v>
      </c>
      <c r="DA3" s="229">
        <v>112143</v>
      </c>
      <c r="DB3" s="216">
        <v>-83838</v>
      </c>
      <c r="DC3" s="229">
        <v>64150</v>
      </c>
      <c r="DD3" s="229">
        <v>36698</v>
      </c>
      <c r="DE3" s="150"/>
      <c r="DF3" s="141"/>
      <c r="DG3" s="229">
        <v>99</v>
      </c>
      <c r="DH3" s="229">
        <v>378</v>
      </c>
      <c r="DI3" s="229">
        <v>17487</v>
      </c>
      <c r="DJ3" s="229">
        <v>5748</v>
      </c>
      <c r="DK3" s="229">
        <v>0</v>
      </c>
      <c r="DL3" s="229">
        <v>0</v>
      </c>
      <c r="DM3" s="229">
        <v>11739</v>
      </c>
      <c r="DN3" s="130">
        <v>20</v>
      </c>
      <c r="DO3" s="130">
        <v>0</v>
      </c>
      <c r="DP3" s="130">
        <v>0</v>
      </c>
      <c r="DQ3" s="130">
        <v>11759</v>
      </c>
      <c r="DR3" s="130">
        <v>2911</v>
      </c>
      <c r="DS3" s="130">
        <v>12838</v>
      </c>
      <c r="DT3" s="141"/>
      <c r="DU3" s="183">
        <v>620</v>
      </c>
      <c r="DV3" s="183">
        <v>-5166</v>
      </c>
      <c r="DW3" s="180">
        <v>3234</v>
      </c>
      <c r="DX3" s="130">
        <v>64150</v>
      </c>
      <c r="DY3" s="229">
        <v>59104</v>
      </c>
      <c r="DZ3" s="229">
        <v>1773</v>
      </c>
      <c r="EA3" s="229">
        <v>3273</v>
      </c>
      <c r="EB3" s="212">
        <v>22.25</v>
      </c>
      <c r="EC3" s="208"/>
      <c r="ED3" s="183">
        <v>22.794117647058901</v>
      </c>
      <c r="EE3" s="3">
        <v>50584</v>
      </c>
      <c r="EF3" s="180">
        <v>49394</v>
      </c>
      <c r="EG3" s="3">
        <v>50719</v>
      </c>
      <c r="EH3" s="3"/>
      <c r="EI3" s="3">
        <v>1000</v>
      </c>
      <c r="EJ3" s="3"/>
      <c r="EK3" s="183">
        <v>-3773</v>
      </c>
      <c r="EL3" s="183">
        <v>130</v>
      </c>
      <c r="EM3" s="183">
        <v>354</v>
      </c>
      <c r="EN3" s="226">
        <v>-5323</v>
      </c>
      <c r="EO3" s="226">
        <v>34</v>
      </c>
      <c r="EP3" s="226">
        <v>159</v>
      </c>
      <c r="EQ3" s="226">
        <v>-16001</v>
      </c>
      <c r="ER3" s="230">
        <v>115</v>
      </c>
      <c r="ES3" s="230">
        <v>6282</v>
      </c>
      <c r="ET3" s="3">
        <v>7500</v>
      </c>
      <c r="EU3" s="211">
        <v>-56</v>
      </c>
      <c r="EV3" s="180">
        <v>0</v>
      </c>
      <c r="EW3" s="180">
        <v>5020</v>
      </c>
      <c r="EX3" s="3">
        <v>12000</v>
      </c>
      <c r="EY3" s="180">
        <v>-8000</v>
      </c>
      <c r="EZ3" s="3">
        <v>54097</v>
      </c>
      <c r="FA3" s="3">
        <v>38470</v>
      </c>
      <c r="FB3" s="3">
        <v>15627</v>
      </c>
      <c r="FC3" s="3">
        <v>7639</v>
      </c>
      <c r="FD3" s="226">
        <v>53609</v>
      </c>
      <c r="FE3" s="180">
        <v>33398</v>
      </c>
      <c r="FF3" s="180">
        <v>20211</v>
      </c>
      <c r="FG3" s="180">
        <v>7639</v>
      </c>
      <c r="FH3" s="230">
        <v>52444</v>
      </c>
      <c r="FI3" s="3">
        <v>40805</v>
      </c>
      <c r="FJ3" s="3">
        <v>11639</v>
      </c>
      <c r="FK3" s="3">
        <v>7647</v>
      </c>
      <c r="FL3" s="29">
        <v>4285.7142857142853</v>
      </c>
      <c r="FM3" s="29">
        <v>4463.186646433991</v>
      </c>
      <c r="FN3" s="29">
        <v>4623.2078579708377</v>
      </c>
      <c r="FO3" s="172">
        <f t="shared" ref="FO3:FO66" si="0">(DY3/EB3)</f>
        <v>2656.3595505617977</v>
      </c>
      <c r="FP3" s="170">
        <f t="shared" ref="FP3:FP66" si="1">(FO3/CM3)*1000</f>
        <v>162.06207983416496</v>
      </c>
      <c r="FR3" s="175"/>
      <c r="FS3" s="195"/>
      <c r="FV3" s="175">
        <v>4670</v>
      </c>
      <c r="FW3" s="2">
        <f t="shared" ref="FW3:FW66" si="2">FV3*-1</f>
        <v>-4670</v>
      </c>
      <c r="FX3"/>
      <c r="FY3"/>
      <c r="FZ3" s="186"/>
      <c r="GC3"/>
    </row>
    <row r="4" spans="1:185" ht="13" x14ac:dyDescent="0.3">
      <c r="A4" s="77">
        <v>5</v>
      </c>
      <c r="B4" s="75" t="s">
        <v>2</v>
      </c>
      <c r="C4" s="179">
        <v>9700</v>
      </c>
      <c r="D4" s="138"/>
      <c r="E4" s="142">
        <v>0.76709401709401714</v>
      </c>
      <c r="F4" s="142">
        <v>39.342238065582926</v>
      </c>
      <c r="G4" s="183">
        <v>-2770.9278350515465</v>
      </c>
      <c r="H4" s="144"/>
      <c r="I4" s="186"/>
      <c r="K4" s="210">
        <v>47.735358222597199</v>
      </c>
      <c r="L4" s="143">
        <v>405.56701030927832</v>
      </c>
      <c r="M4" s="146">
        <v>14.024476002578478</v>
      </c>
      <c r="N4" s="143">
        <v>10555.257731958764</v>
      </c>
      <c r="O4" s="138">
        <v>41606</v>
      </c>
      <c r="P4" s="143">
        <v>29186</v>
      </c>
      <c r="Q4" s="184">
        <v>90428</v>
      </c>
      <c r="R4" s="184">
        <v>-61242</v>
      </c>
      <c r="S4" s="139">
        <v>28893</v>
      </c>
      <c r="T4" s="138">
        <v>35055</v>
      </c>
      <c r="U4" s="151"/>
      <c r="W4" s="183">
        <v>-193</v>
      </c>
      <c r="X4" s="183">
        <v>147</v>
      </c>
      <c r="Y4" s="184">
        <v>2660</v>
      </c>
      <c r="Z4" s="130">
        <v>3573</v>
      </c>
      <c r="AA4" s="130">
        <v>0</v>
      </c>
      <c r="AB4" s="130">
        <v>0</v>
      </c>
      <c r="AC4" s="184">
        <v>-913</v>
      </c>
      <c r="AD4" s="183">
        <v>0</v>
      </c>
      <c r="AE4" s="183">
        <v>0</v>
      </c>
      <c r="AF4" s="183">
        <v>0</v>
      </c>
      <c r="AG4" s="183">
        <v>-913</v>
      </c>
      <c r="AH4" s="183">
        <v>7731</v>
      </c>
      <c r="AI4" s="183">
        <v>2602</v>
      </c>
      <c r="AJ4" s="167"/>
      <c r="AK4" s="183">
        <v>911</v>
      </c>
      <c r="AL4" s="183">
        <v>-3532</v>
      </c>
      <c r="AM4" s="180">
        <v>-4891</v>
      </c>
      <c r="AN4" s="139">
        <v>28893</v>
      </c>
      <c r="AO4" s="138">
        <v>24613</v>
      </c>
      <c r="AP4" s="184">
        <v>2142</v>
      </c>
      <c r="AQ4" s="138">
        <v>2138</v>
      </c>
      <c r="AR4" s="109">
        <v>21.75</v>
      </c>
      <c r="AS4" s="144"/>
      <c r="AT4" s="139">
        <v>123</v>
      </c>
      <c r="AU4" s="228">
        <v>9562</v>
      </c>
      <c r="AV4" s="138"/>
      <c r="AW4" s="224">
        <v>0.34200108228190595</v>
      </c>
      <c r="AX4" s="225">
        <v>38.199113867153457</v>
      </c>
      <c r="AY4" s="139">
        <v>-3405.7728508680193</v>
      </c>
      <c r="AZ4" s="144"/>
      <c r="BA4"/>
      <c r="BC4" s="189">
        <v>43.140005395198273</v>
      </c>
      <c r="BD4" s="183">
        <v>352.54130934950842</v>
      </c>
      <c r="BE4" s="140">
        <v>10.292828401970873</v>
      </c>
      <c r="BF4" s="139">
        <v>12501.673290106672</v>
      </c>
      <c r="BG4" s="184">
        <v>45948</v>
      </c>
      <c r="BH4" s="216">
        <v>44709</v>
      </c>
      <c r="BI4" s="216">
        <v>107678</v>
      </c>
      <c r="BJ4" s="216">
        <v>-62969</v>
      </c>
      <c r="BK4" s="216">
        <v>29512</v>
      </c>
      <c r="BL4" s="216">
        <v>34792</v>
      </c>
      <c r="BM4" s="151"/>
      <c r="BO4" s="216">
        <v>-202</v>
      </c>
      <c r="BP4" s="216">
        <v>150</v>
      </c>
      <c r="BQ4" s="216">
        <v>1283</v>
      </c>
      <c r="BR4" s="216">
        <v>3246</v>
      </c>
      <c r="BS4" s="216">
        <v>0</v>
      </c>
      <c r="BT4" s="216">
        <v>0</v>
      </c>
      <c r="BU4" s="216">
        <v>-1963</v>
      </c>
      <c r="BV4" s="183">
        <v>0</v>
      </c>
      <c r="BW4" s="183">
        <v>0</v>
      </c>
      <c r="BX4" s="183">
        <v>0</v>
      </c>
      <c r="BY4" s="183">
        <v>-1963</v>
      </c>
      <c r="BZ4" s="183">
        <v>5768</v>
      </c>
      <c r="CA4" s="183">
        <v>1301</v>
      </c>
      <c r="CB4" s="167"/>
      <c r="CC4" s="183">
        <v>125</v>
      </c>
      <c r="CD4" s="183">
        <v>-3838</v>
      </c>
      <c r="CE4" s="180">
        <v>-5586</v>
      </c>
      <c r="CF4" s="139">
        <v>29512</v>
      </c>
      <c r="CG4" s="216">
        <v>25292</v>
      </c>
      <c r="CH4" s="216">
        <v>2066</v>
      </c>
      <c r="CI4" s="216">
        <v>2154</v>
      </c>
      <c r="CJ4" s="212">
        <v>21.75</v>
      </c>
      <c r="CK4" s="144"/>
      <c r="CL4" s="130">
        <v>162</v>
      </c>
      <c r="CM4" s="228">
        <v>9419</v>
      </c>
      <c r="CN4" s="138"/>
      <c r="CO4" s="142">
        <v>1.3470940959409594</v>
      </c>
      <c r="CP4" s="142">
        <v>37.566943096129393</v>
      </c>
      <c r="CQ4" s="183">
        <v>-3337.7216264996282</v>
      </c>
      <c r="CR4" s="144"/>
      <c r="CS4"/>
      <c r="CU4" s="232">
        <v>44.059835142794292</v>
      </c>
      <c r="CV4" s="143">
        <v>478.6070708143115</v>
      </c>
      <c r="CW4" s="146">
        <v>14.18013219921232</v>
      </c>
      <c r="CX4" s="143">
        <v>12319.460664614078</v>
      </c>
      <c r="CY4" s="131">
        <v>45160</v>
      </c>
      <c r="CZ4" s="229">
        <v>43439</v>
      </c>
      <c r="DA4" s="229">
        <v>106079</v>
      </c>
      <c r="DB4" s="216">
        <v>-62640</v>
      </c>
      <c r="DC4" s="229">
        <v>29583</v>
      </c>
      <c r="DD4" s="229">
        <v>38640</v>
      </c>
      <c r="DE4" s="151"/>
      <c r="DG4" s="229">
        <v>-186</v>
      </c>
      <c r="DH4" s="229">
        <v>252</v>
      </c>
      <c r="DI4" s="229">
        <v>5649</v>
      </c>
      <c r="DJ4" s="229">
        <v>3584</v>
      </c>
      <c r="DK4" s="229">
        <v>0</v>
      </c>
      <c r="DL4" s="229">
        <v>0</v>
      </c>
      <c r="DM4" s="229">
        <v>2065</v>
      </c>
      <c r="DN4" s="130">
        <v>0</v>
      </c>
      <c r="DO4" s="130">
        <v>0</v>
      </c>
      <c r="DP4" s="130">
        <v>0</v>
      </c>
      <c r="DQ4" s="130">
        <v>2065</v>
      </c>
      <c r="DR4" s="130">
        <v>7833</v>
      </c>
      <c r="DS4" s="130">
        <v>5646</v>
      </c>
      <c r="DT4" s="167"/>
      <c r="DU4" s="183">
        <v>-298</v>
      </c>
      <c r="DV4" s="183">
        <v>-4144</v>
      </c>
      <c r="DW4" s="180">
        <v>322</v>
      </c>
      <c r="DX4" s="130">
        <v>29583</v>
      </c>
      <c r="DY4" s="229">
        <v>25512</v>
      </c>
      <c r="DZ4" s="229">
        <v>2144</v>
      </c>
      <c r="EA4" s="229">
        <v>1927</v>
      </c>
      <c r="EB4" s="212">
        <v>21.75</v>
      </c>
      <c r="EC4" s="208"/>
      <c r="ED4" s="183">
        <v>184.97794117647001</v>
      </c>
      <c r="EE4" s="3">
        <v>38046</v>
      </c>
      <c r="EF4" s="183">
        <v>49572</v>
      </c>
      <c r="EG4" s="130">
        <v>48993</v>
      </c>
      <c r="EH4" s="130"/>
      <c r="EI4" s="130"/>
      <c r="EJ4" s="130"/>
      <c r="EK4" s="183">
        <v>-8209</v>
      </c>
      <c r="EL4" s="183">
        <v>576</v>
      </c>
      <c r="EM4" s="183">
        <v>140</v>
      </c>
      <c r="EN4" s="226">
        <v>-7703</v>
      </c>
      <c r="EO4" s="226">
        <v>779</v>
      </c>
      <c r="EP4" s="226">
        <v>37</v>
      </c>
      <c r="EQ4" s="226">
        <v>-5620</v>
      </c>
      <c r="ER4" s="230">
        <v>275</v>
      </c>
      <c r="ES4" s="230">
        <v>21</v>
      </c>
      <c r="ET4" s="3">
        <v>4000</v>
      </c>
      <c r="EU4" s="211">
        <v>2000</v>
      </c>
      <c r="EV4" s="183">
        <v>8070</v>
      </c>
      <c r="EW4" s="183">
        <v>0</v>
      </c>
      <c r="EX4" s="130">
        <v>4000</v>
      </c>
      <c r="EY4" s="183">
        <v>0</v>
      </c>
      <c r="EZ4" s="3">
        <v>23626</v>
      </c>
      <c r="FA4" s="3">
        <v>15945</v>
      </c>
      <c r="FB4" s="3">
        <v>7681</v>
      </c>
      <c r="FC4" s="3">
        <v>451</v>
      </c>
      <c r="FD4" s="226">
        <v>27858</v>
      </c>
      <c r="FE4" s="183">
        <v>19714</v>
      </c>
      <c r="FF4" s="183">
        <v>8144</v>
      </c>
      <c r="FG4" s="183">
        <v>543</v>
      </c>
      <c r="FH4" s="230">
        <v>27715</v>
      </c>
      <c r="FI4" s="130">
        <v>19420</v>
      </c>
      <c r="FJ4" s="130">
        <v>8295</v>
      </c>
      <c r="FK4" s="130">
        <v>536</v>
      </c>
      <c r="FL4" s="29">
        <v>4713.5051546391751</v>
      </c>
      <c r="FM4" s="139">
        <v>5270.5500941225682</v>
      </c>
      <c r="FN4" s="139">
        <v>5437.3075698057119</v>
      </c>
      <c r="FO4" s="172">
        <f t="shared" si="0"/>
        <v>1172.9655172413793</v>
      </c>
      <c r="FP4" s="170">
        <f t="shared" si="1"/>
        <v>124.53185234540602</v>
      </c>
      <c r="FR4" s="175"/>
      <c r="FS4" s="195"/>
      <c r="FV4" s="175">
        <v>3040</v>
      </c>
      <c r="FW4" s="2">
        <f t="shared" si="2"/>
        <v>-3040</v>
      </c>
      <c r="FX4" s="2"/>
      <c r="FY4" s="2"/>
      <c r="FZ4" s="186"/>
      <c r="GA4" s="2"/>
      <c r="GB4" s="2"/>
      <c r="GC4" s="2"/>
    </row>
    <row r="5" spans="1:185" ht="13" x14ac:dyDescent="0.3">
      <c r="A5" s="77">
        <v>9</v>
      </c>
      <c r="B5" s="75" t="s">
        <v>3</v>
      </c>
      <c r="C5" s="179">
        <v>2573</v>
      </c>
      <c r="D5" s="138"/>
      <c r="E5" s="142">
        <v>2.1957773512476009</v>
      </c>
      <c r="F5" s="142">
        <v>57.307815674115254</v>
      </c>
      <c r="G5" s="183">
        <v>-3238.6319471434126</v>
      </c>
      <c r="H5" s="144"/>
      <c r="I5" s="186"/>
      <c r="K5" s="210">
        <v>41.54699738903394</v>
      </c>
      <c r="L5" s="143">
        <v>672.75553828216096</v>
      </c>
      <c r="M5" s="146">
        <v>33.43998094633217</v>
      </c>
      <c r="N5" s="143">
        <v>7343.1791682860503</v>
      </c>
      <c r="O5" s="138">
        <v>4254</v>
      </c>
      <c r="P5" s="143">
        <v>2153</v>
      </c>
      <c r="Q5" s="184">
        <v>17572</v>
      </c>
      <c r="R5" s="184">
        <v>-15419</v>
      </c>
      <c r="S5" s="139">
        <v>7528</v>
      </c>
      <c r="T5" s="138">
        <v>9025</v>
      </c>
      <c r="U5" s="151"/>
      <c r="W5" s="183">
        <v>-28</v>
      </c>
      <c r="X5" s="183">
        <v>10</v>
      </c>
      <c r="Y5" s="184">
        <v>1116</v>
      </c>
      <c r="Z5" s="130">
        <v>719</v>
      </c>
      <c r="AA5" s="130">
        <v>0</v>
      </c>
      <c r="AB5" s="130">
        <v>0</v>
      </c>
      <c r="AC5" s="184">
        <v>397</v>
      </c>
      <c r="AD5" s="183">
        <v>0</v>
      </c>
      <c r="AE5" s="183">
        <v>0</v>
      </c>
      <c r="AF5" s="183">
        <v>0</v>
      </c>
      <c r="AG5" s="183">
        <v>397</v>
      </c>
      <c r="AH5" s="183">
        <v>107</v>
      </c>
      <c r="AI5" s="183">
        <v>1028</v>
      </c>
      <c r="AJ5" s="167"/>
      <c r="AK5" s="183">
        <v>605</v>
      </c>
      <c r="AL5" s="183">
        <v>-493</v>
      </c>
      <c r="AM5" s="180">
        <v>553</v>
      </c>
      <c r="AN5" s="139">
        <v>7528</v>
      </c>
      <c r="AO5" s="138">
        <v>6537</v>
      </c>
      <c r="AP5" s="184">
        <v>259</v>
      </c>
      <c r="AQ5" s="138">
        <v>732</v>
      </c>
      <c r="AR5" s="109">
        <v>21.5</v>
      </c>
      <c r="AS5" s="144"/>
      <c r="AT5" s="139">
        <v>63</v>
      </c>
      <c r="AU5" s="228">
        <v>2519</v>
      </c>
      <c r="AV5" s="138"/>
      <c r="AW5" s="224">
        <v>1.1490431084477093</v>
      </c>
      <c r="AX5" s="225">
        <v>56.665442526625043</v>
      </c>
      <c r="AY5" s="139">
        <v>-3183.0091306073837</v>
      </c>
      <c r="AZ5" s="144"/>
      <c r="BA5"/>
      <c r="BC5" s="189">
        <v>43.548975655528331</v>
      </c>
      <c r="BD5" s="183">
        <v>720.12703453751487</v>
      </c>
      <c r="BE5" s="140">
        <v>34.645492124954217</v>
      </c>
      <c r="BF5" s="139">
        <v>7586.7407701468837</v>
      </c>
      <c r="BG5" s="184">
        <v>4470</v>
      </c>
      <c r="BH5" s="216">
        <v>2190</v>
      </c>
      <c r="BI5" s="216">
        <v>17586</v>
      </c>
      <c r="BJ5" s="216">
        <v>-15396</v>
      </c>
      <c r="BK5" s="216">
        <v>7962</v>
      </c>
      <c r="BL5" s="216">
        <v>8909</v>
      </c>
      <c r="BM5" s="151"/>
      <c r="BO5" s="216">
        <v>-26</v>
      </c>
      <c r="BP5" s="216">
        <v>11</v>
      </c>
      <c r="BQ5" s="216">
        <v>1460</v>
      </c>
      <c r="BR5" s="216">
        <v>745</v>
      </c>
      <c r="BS5" s="216">
        <v>0</v>
      </c>
      <c r="BT5" s="216">
        <v>0</v>
      </c>
      <c r="BU5" s="216">
        <v>715</v>
      </c>
      <c r="BV5" s="183">
        <v>0</v>
      </c>
      <c r="BW5" s="183">
        <v>0</v>
      </c>
      <c r="BX5" s="183">
        <v>0</v>
      </c>
      <c r="BY5" s="183">
        <v>715</v>
      </c>
      <c r="BZ5" s="183">
        <v>823</v>
      </c>
      <c r="CA5" s="183">
        <v>1460</v>
      </c>
      <c r="CB5" s="167"/>
      <c r="CC5" s="183">
        <v>-313</v>
      </c>
      <c r="CD5" s="183">
        <v>-344</v>
      </c>
      <c r="CE5" s="180">
        <v>324</v>
      </c>
      <c r="CF5" s="139">
        <v>7962</v>
      </c>
      <c r="CG5" s="216">
        <v>6931</v>
      </c>
      <c r="CH5" s="216">
        <v>263</v>
      </c>
      <c r="CI5" s="216">
        <v>768</v>
      </c>
      <c r="CJ5" s="212">
        <v>22</v>
      </c>
      <c r="CK5" s="144"/>
      <c r="CL5" s="130">
        <v>17</v>
      </c>
      <c r="CM5" s="228">
        <v>2517</v>
      </c>
      <c r="CN5" s="138"/>
      <c r="CO5" s="142">
        <v>0.49544072948328266</v>
      </c>
      <c r="CP5" s="142">
        <v>56.152367811560637</v>
      </c>
      <c r="CQ5" s="183">
        <v>-2744.1398490266188</v>
      </c>
      <c r="CR5" s="144"/>
      <c r="CS5"/>
      <c r="CU5" s="232">
        <v>45.631758679567447</v>
      </c>
      <c r="CV5" s="143">
        <v>1490.2661899086213</v>
      </c>
      <c r="CW5" s="146">
        <v>56.911294010059443</v>
      </c>
      <c r="CX5" s="143">
        <v>9557.8069129916566</v>
      </c>
      <c r="CY5" s="131">
        <v>4572</v>
      </c>
      <c r="CZ5" s="229">
        <v>2476</v>
      </c>
      <c r="DA5" s="229">
        <v>18348</v>
      </c>
      <c r="DB5" s="216">
        <v>-15872</v>
      </c>
      <c r="DC5" s="229">
        <v>7716</v>
      </c>
      <c r="DD5" s="229">
        <v>10101</v>
      </c>
      <c r="DE5" s="151"/>
      <c r="DG5" s="229">
        <v>15</v>
      </c>
      <c r="DH5" s="229">
        <v>11</v>
      </c>
      <c r="DI5" s="229">
        <v>1971</v>
      </c>
      <c r="DJ5" s="229">
        <v>705</v>
      </c>
      <c r="DK5" s="229">
        <v>0</v>
      </c>
      <c r="DL5" s="229">
        <v>0</v>
      </c>
      <c r="DM5" s="229">
        <v>1266</v>
      </c>
      <c r="DN5" s="130">
        <v>0</v>
      </c>
      <c r="DO5" s="130">
        <v>0</v>
      </c>
      <c r="DP5" s="130">
        <v>0</v>
      </c>
      <c r="DQ5" s="130">
        <v>1266</v>
      </c>
      <c r="DR5" s="130">
        <v>2090</v>
      </c>
      <c r="DS5" s="130">
        <v>1843</v>
      </c>
      <c r="DT5" s="167"/>
      <c r="DU5" s="183">
        <v>233</v>
      </c>
      <c r="DV5" s="183">
        <v>-3963</v>
      </c>
      <c r="DW5" s="180">
        <v>1594</v>
      </c>
      <c r="DX5" s="130">
        <v>7716</v>
      </c>
      <c r="DY5" s="229">
        <v>6711</v>
      </c>
      <c r="DZ5" s="229">
        <v>305</v>
      </c>
      <c r="EA5" s="229">
        <v>700</v>
      </c>
      <c r="EB5" s="212">
        <v>22</v>
      </c>
      <c r="EC5" s="208"/>
      <c r="ED5" s="183">
        <v>96.330882352941202</v>
      </c>
      <c r="EE5" s="3">
        <v>11724</v>
      </c>
      <c r="EF5" s="183">
        <v>11440</v>
      </c>
      <c r="EG5" s="130">
        <v>12132</v>
      </c>
      <c r="EH5" s="143"/>
      <c r="EI5" s="143"/>
      <c r="EJ5" s="143"/>
      <c r="EK5" s="183">
        <v>-796</v>
      </c>
      <c r="EL5" s="183">
        <v>144</v>
      </c>
      <c r="EM5" s="183">
        <v>177</v>
      </c>
      <c r="EN5" s="226">
        <v>-1151</v>
      </c>
      <c r="EO5" s="226">
        <v>0</v>
      </c>
      <c r="EP5" s="226">
        <v>15</v>
      </c>
      <c r="EQ5" s="226">
        <v>-1061</v>
      </c>
      <c r="ER5" s="230">
        <v>11</v>
      </c>
      <c r="ES5" s="230">
        <v>801</v>
      </c>
      <c r="ET5" s="3">
        <v>0</v>
      </c>
      <c r="EU5" s="211">
        <v>1500</v>
      </c>
      <c r="EV5" s="183">
        <v>0</v>
      </c>
      <c r="EW5" s="183">
        <v>1000</v>
      </c>
      <c r="EX5" s="130">
        <v>0</v>
      </c>
      <c r="EY5" s="183">
        <v>4500</v>
      </c>
      <c r="EZ5" s="3">
        <v>8807</v>
      </c>
      <c r="FA5" s="3">
        <v>3963</v>
      </c>
      <c r="FB5" s="3">
        <v>4844</v>
      </c>
      <c r="FC5" s="3">
        <v>84</v>
      </c>
      <c r="FD5" s="226">
        <v>9463</v>
      </c>
      <c r="FE5" s="183">
        <v>833</v>
      </c>
      <c r="FF5" s="183">
        <v>8630</v>
      </c>
      <c r="FG5" s="183">
        <v>84</v>
      </c>
      <c r="FH5" s="230">
        <v>10000</v>
      </c>
      <c r="FI5" s="130">
        <v>0</v>
      </c>
      <c r="FJ5" s="130">
        <v>10000</v>
      </c>
      <c r="FK5" s="130">
        <v>774</v>
      </c>
      <c r="FL5" s="29">
        <v>3589.9727944034203</v>
      </c>
      <c r="FM5" s="139">
        <v>4017.4672489082964</v>
      </c>
      <c r="FN5" s="139">
        <v>4469.209376241557</v>
      </c>
      <c r="FO5" s="172">
        <f t="shared" si="0"/>
        <v>305.04545454545456</v>
      </c>
      <c r="FP5" s="170">
        <f t="shared" si="1"/>
        <v>121.19406219525409</v>
      </c>
      <c r="FR5" s="175"/>
      <c r="FS5" s="195"/>
      <c r="FV5" s="175">
        <v>792</v>
      </c>
      <c r="FW5" s="2">
        <f t="shared" si="2"/>
        <v>-792</v>
      </c>
      <c r="FZ5" s="186"/>
      <c r="GA5" s="2"/>
      <c r="GB5" s="2"/>
    </row>
    <row r="6" spans="1:185" ht="13" x14ac:dyDescent="0.3">
      <c r="A6" s="77">
        <v>10</v>
      </c>
      <c r="B6" s="75" t="s">
        <v>4</v>
      </c>
      <c r="C6" s="179">
        <v>11544</v>
      </c>
      <c r="D6" s="138"/>
      <c r="E6" s="142">
        <v>0.13954724671067203</v>
      </c>
      <c r="F6" s="142">
        <v>55.822813533816628</v>
      </c>
      <c r="G6" s="183">
        <v>-2585.4989604989605</v>
      </c>
      <c r="H6" s="144"/>
      <c r="I6" s="186"/>
      <c r="K6" s="210">
        <v>50.604927178887102</v>
      </c>
      <c r="L6" s="143">
        <v>1225.8316008316008</v>
      </c>
      <c r="M6" s="146">
        <v>46.872924115650576</v>
      </c>
      <c r="N6" s="143">
        <v>9545.5647955647946</v>
      </c>
      <c r="O6" s="138">
        <v>23328</v>
      </c>
      <c r="P6" s="143">
        <v>11762</v>
      </c>
      <c r="Q6" s="184">
        <v>82024</v>
      </c>
      <c r="R6" s="184">
        <v>-70262</v>
      </c>
      <c r="S6" s="139">
        <v>33901</v>
      </c>
      <c r="T6" s="138">
        <v>38294</v>
      </c>
      <c r="U6" s="151"/>
      <c r="W6" s="183">
        <v>-32</v>
      </c>
      <c r="X6" s="183">
        <v>999</v>
      </c>
      <c r="Y6" s="184">
        <v>2900</v>
      </c>
      <c r="Z6" s="130">
        <v>3286</v>
      </c>
      <c r="AA6" s="130">
        <v>0</v>
      </c>
      <c r="AB6" s="130">
        <v>0</v>
      </c>
      <c r="AC6" s="184">
        <v>-386</v>
      </c>
      <c r="AD6" s="183">
        <v>0</v>
      </c>
      <c r="AE6" s="183">
        <v>0</v>
      </c>
      <c r="AF6" s="183">
        <v>0</v>
      </c>
      <c r="AG6" s="183">
        <v>-386</v>
      </c>
      <c r="AH6" s="183">
        <v>14779</v>
      </c>
      <c r="AI6" s="183">
        <v>2686</v>
      </c>
      <c r="AJ6" s="167"/>
      <c r="AK6" s="183">
        <v>694</v>
      </c>
      <c r="AL6" s="183">
        <v>-22323</v>
      </c>
      <c r="AM6" s="180">
        <v>-2411</v>
      </c>
      <c r="AN6" s="139">
        <v>33901</v>
      </c>
      <c r="AO6" s="138">
        <v>28747</v>
      </c>
      <c r="AP6" s="184">
        <v>2398</v>
      </c>
      <c r="AQ6" s="138">
        <v>2756</v>
      </c>
      <c r="AR6" s="109">
        <v>21.25</v>
      </c>
      <c r="AS6" s="144"/>
      <c r="AT6" s="139">
        <v>138</v>
      </c>
      <c r="AU6" s="228">
        <v>11468</v>
      </c>
      <c r="AV6" s="138"/>
      <c r="AW6" s="224">
        <v>0.2171916408731363</v>
      </c>
      <c r="AX6" s="225">
        <v>63.285908259047169</v>
      </c>
      <c r="AY6" s="139">
        <v>-2337.2863620509243</v>
      </c>
      <c r="AZ6" s="144"/>
      <c r="BA6"/>
      <c r="BC6" s="189">
        <v>50.387057174528429</v>
      </c>
      <c r="BD6" s="183">
        <v>1263.1670735960934</v>
      </c>
      <c r="BE6" s="140">
        <v>54.930497839095743</v>
      </c>
      <c r="BF6" s="139">
        <v>8393.442622950819</v>
      </c>
      <c r="BG6" s="184">
        <v>24125</v>
      </c>
      <c r="BH6" s="216">
        <v>11960</v>
      </c>
      <c r="BI6" s="216">
        <v>84410</v>
      </c>
      <c r="BJ6" s="216">
        <v>-72208</v>
      </c>
      <c r="BK6" s="216">
        <v>34663</v>
      </c>
      <c r="BL6" s="216">
        <v>38072</v>
      </c>
      <c r="BM6" s="151"/>
      <c r="BO6" s="216">
        <v>-71</v>
      </c>
      <c r="BP6" s="216">
        <v>620</v>
      </c>
      <c r="BQ6" s="216">
        <v>1076</v>
      </c>
      <c r="BR6" s="216">
        <v>3653</v>
      </c>
      <c r="BS6" s="216">
        <v>9142</v>
      </c>
      <c r="BT6" s="216">
        <v>0</v>
      </c>
      <c r="BU6" s="216">
        <v>6565</v>
      </c>
      <c r="BV6" s="183">
        <v>0</v>
      </c>
      <c r="BW6" s="183">
        <v>0</v>
      </c>
      <c r="BX6" s="183">
        <v>0</v>
      </c>
      <c r="BY6" s="183">
        <v>6565</v>
      </c>
      <c r="BZ6" s="183">
        <v>21344</v>
      </c>
      <c r="CA6" s="183">
        <v>886</v>
      </c>
      <c r="CB6" s="167"/>
      <c r="CC6" s="183">
        <v>-9544</v>
      </c>
      <c r="CD6" s="183">
        <v>-3177</v>
      </c>
      <c r="CE6" s="180">
        <v>1926</v>
      </c>
      <c r="CF6" s="139">
        <v>34663</v>
      </c>
      <c r="CG6" s="216">
        <v>29279</v>
      </c>
      <c r="CH6" s="216">
        <v>2585</v>
      </c>
      <c r="CI6" s="216">
        <v>2799</v>
      </c>
      <c r="CJ6" s="212">
        <v>21.25</v>
      </c>
      <c r="CK6" s="144"/>
      <c r="CL6" s="130">
        <v>183</v>
      </c>
      <c r="CM6" s="228">
        <v>11332</v>
      </c>
      <c r="CN6" s="138"/>
      <c r="CO6" s="142">
        <v>1.2806647940074907</v>
      </c>
      <c r="CP6" s="142">
        <v>63.145369428957686</v>
      </c>
      <c r="CQ6" s="183">
        <v>-2458.6127779738795</v>
      </c>
      <c r="CR6" s="144"/>
      <c r="CS6"/>
      <c r="CU6" s="232">
        <v>49.576604180095543</v>
      </c>
      <c r="CV6" s="143">
        <v>2285.9159901164844</v>
      </c>
      <c r="CW6" s="146">
        <v>98.138525891865527</v>
      </c>
      <c r="CX6" s="143">
        <v>8501.8531591951996</v>
      </c>
      <c r="CY6" s="131">
        <v>23589</v>
      </c>
      <c r="CZ6" s="229">
        <v>11612</v>
      </c>
      <c r="DA6" s="229">
        <v>85363</v>
      </c>
      <c r="DB6" s="216">
        <v>-73751</v>
      </c>
      <c r="DC6" s="229">
        <v>35072</v>
      </c>
      <c r="DD6" s="229">
        <v>43125</v>
      </c>
      <c r="DE6" s="151"/>
      <c r="DG6" s="229">
        <v>-106</v>
      </c>
      <c r="DH6" s="229">
        <v>837</v>
      </c>
      <c r="DI6" s="229">
        <v>5177</v>
      </c>
      <c r="DJ6" s="229">
        <v>4032</v>
      </c>
      <c r="DK6" s="229">
        <v>0</v>
      </c>
      <c r="DL6" s="229">
        <v>0</v>
      </c>
      <c r="DM6" s="229">
        <v>1145</v>
      </c>
      <c r="DN6" s="130">
        <v>0</v>
      </c>
      <c r="DO6" s="130">
        <v>0</v>
      </c>
      <c r="DP6" s="130">
        <v>0</v>
      </c>
      <c r="DQ6" s="130">
        <v>1145</v>
      </c>
      <c r="DR6" s="130">
        <v>22489</v>
      </c>
      <c r="DS6" s="130">
        <v>5031</v>
      </c>
      <c r="DT6" s="167"/>
      <c r="DU6" s="183">
        <v>9535</v>
      </c>
      <c r="DV6" s="183">
        <v>-3978</v>
      </c>
      <c r="DW6" s="180">
        <v>-1397</v>
      </c>
      <c r="DX6" s="130">
        <v>35072</v>
      </c>
      <c r="DY6" s="229">
        <v>29760</v>
      </c>
      <c r="DZ6" s="229">
        <v>2810</v>
      </c>
      <c r="EA6" s="229">
        <v>2502</v>
      </c>
      <c r="EB6" s="212">
        <v>21.25</v>
      </c>
      <c r="EC6" s="208"/>
      <c r="ED6" s="183">
        <v>240.38235294117601</v>
      </c>
      <c r="EE6" s="3">
        <v>51990</v>
      </c>
      <c r="EF6" s="183">
        <v>53095</v>
      </c>
      <c r="EG6" s="130">
        <v>54746</v>
      </c>
      <c r="EH6" s="130"/>
      <c r="EI6" s="130"/>
      <c r="EJ6" s="130"/>
      <c r="EK6" s="183">
        <v>-5594</v>
      </c>
      <c r="EL6" s="183">
        <v>131</v>
      </c>
      <c r="EM6" s="183">
        <v>366</v>
      </c>
      <c r="EN6" s="226">
        <v>-8782</v>
      </c>
      <c r="EO6" s="226">
        <v>156</v>
      </c>
      <c r="EP6" s="226">
        <v>9666</v>
      </c>
      <c r="EQ6" s="226">
        <v>-6980</v>
      </c>
      <c r="ER6" s="230">
        <v>262</v>
      </c>
      <c r="ES6" s="230">
        <v>290</v>
      </c>
      <c r="ET6" s="3">
        <v>23000</v>
      </c>
      <c r="EU6" s="211">
        <v>-1000</v>
      </c>
      <c r="EV6" s="183">
        <v>8000</v>
      </c>
      <c r="EW6" s="183">
        <v>2000</v>
      </c>
      <c r="EX6" s="130">
        <v>7400</v>
      </c>
      <c r="EY6" s="183">
        <v>-3000</v>
      </c>
      <c r="EZ6" s="3">
        <v>38419</v>
      </c>
      <c r="FA6" s="3">
        <v>34242</v>
      </c>
      <c r="FB6" s="3">
        <v>4177</v>
      </c>
      <c r="FC6" s="3">
        <v>8286</v>
      </c>
      <c r="FD6" s="226">
        <v>45243</v>
      </c>
      <c r="FE6" s="183">
        <v>38265</v>
      </c>
      <c r="FF6" s="183">
        <v>6978</v>
      </c>
      <c r="FG6" s="183">
        <v>7374</v>
      </c>
      <c r="FH6" s="230">
        <v>45665</v>
      </c>
      <c r="FI6" s="130">
        <v>41500</v>
      </c>
      <c r="FJ6" s="130">
        <v>4165</v>
      </c>
      <c r="FK6" s="130">
        <v>7195</v>
      </c>
      <c r="FL6" s="29">
        <v>6158.3506583506578</v>
      </c>
      <c r="FM6" s="139">
        <v>6850.4534356470176</v>
      </c>
      <c r="FN6" s="139">
        <v>7135.7218496293681</v>
      </c>
      <c r="FO6" s="172">
        <f t="shared" si="0"/>
        <v>1400.4705882352941</v>
      </c>
      <c r="FP6" s="170">
        <f t="shared" si="1"/>
        <v>123.58547372355225</v>
      </c>
      <c r="FR6" s="175"/>
      <c r="FS6" s="195"/>
      <c r="FV6" s="175">
        <v>2706</v>
      </c>
      <c r="FW6" s="2">
        <f t="shared" si="2"/>
        <v>-2706</v>
      </c>
      <c r="FZ6" s="186"/>
      <c r="GA6" s="2"/>
      <c r="GB6" s="2"/>
    </row>
    <row r="7" spans="1:185" ht="13" x14ac:dyDescent="0.3">
      <c r="A7" s="77">
        <v>16</v>
      </c>
      <c r="B7" s="75" t="s">
        <v>5</v>
      </c>
      <c r="C7" s="179">
        <v>8149</v>
      </c>
      <c r="D7" s="138"/>
      <c r="E7" s="142">
        <v>48.338709677419352</v>
      </c>
      <c r="F7" s="142">
        <v>27.159977173292752</v>
      </c>
      <c r="G7" s="183">
        <v>-1227.2671493434777</v>
      </c>
      <c r="H7" s="144"/>
      <c r="I7" s="186"/>
      <c r="K7" s="210">
        <v>72.149432751441992</v>
      </c>
      <c r="L7" s="143">
        <v>359.30789053871644</v>
      </c>
      <c r="M7" s="146">
        <v>20.990277914170676</v>
      </c>
      <c r="N7" s="143">
        <v>6248.0058902932869</v>
      </c>
      <c r="O7" s="138">
        <v>13175</v>
      </c>
      <c r="P7" s="143">
        <v>6194</v>
      </c>
      <c r="Q7" s="184">
        <v>49448</v>
      </c>
      <c r="R7" s="184">
        <v>-43254</v>
      </c>
      <c r="S7" s="139">
        <v>28838</v>
      </c>
      <c r="T7" s="138">
        <v>17538</v>
      </c>
      <c r="U7" s="151"/>
      <c r="W7" s="183">
        <v>-41</v>
      </c>
      <c r="X7" s="183">
        <v>-126</v>
      </c>
      <c r="Y7" s="184">
        <v>2955</v>
      </c>
      <c r="Z7" s="130">
        <v>2255</v>
      </c>
      <c r="AA7" s="130">
        <v>0</v>
      </c>
      <c r="AB7" s="130">
        <v>0</v>
      </c>
      <c r="AC7" s="184">
        <v>700</v>
      </c>
      <c r="AD7" s="184">
        <v>94</v>
      </c>
      <c r="AE7" s="183">
        <v>0</v>
      </c>
      <c r="AF7" s="183">
        <v>0</v>
      </c>
      <c r="AG7" s="183">
        <v>794</v>
      </c>
      <c r="AH7" s="183">
        <v>10946</v>
      </c>
      <c r="AI7" s="183">
        <v>2847</v>
      </c>
      <c r="AJ7" s="167"/>
      <c r="AK7" s="183">
        <v>765</v>
      </c>
      <c r="AL7" s="183">
        <v>-20</v>
      </c>
      <c r="AM7" s="180">
        <v>1928</v>
      </c>
      <c r="AN7" s="139">
        <v>28838</v>
      </c>
      <c r="AO7" s="138">
        <v>24509</v>
      </c>
      <c r="AP7" s="184">
        <v>1436</v>
      </c>
      <c r="AQ7" s="138">
        <v>2893</v>
      </c>
      <c r="AR7" s="109">
        <v>20.75</v>
      </c>
      <c r="AS7" s="144"/>
      <c r="AT7" s="139">
        <v>90</v>
      </c>
      <c r="AU7" s="228">
        <v>8083</v>
      </c>
      <c r="AV7" s="138"/>
      <c r="AW7" s="224">
        <v>2.1669106881405562</v>
      </c>
      <c r="AX7" s="225">
        <v>21.974680745204267</v>
      </c>
      <c r="AY7" s="139">
        <v>-1233.9477916615119</v>
      </c>
      <c r="AZ7" s="144"/>
      <c r="BA7"/>
      <c r="BC7" s="189">
        <v>75.357891584306685</v>
      </c>
      <c r="BD7" s="183">
        <v>123.22157614746999</v>
      </c>
      <c r="BE7" s="140">
        <v>6.7047822799284411</v>
      </c>
      <c r="BF7" s="139">
        <v>6708.0291970802919</v>
      </c>
      <c r="BG7" s="184">
        <v>13729</v>
      </c>
      <c r="BH7" s="216">
        <v>6112</v>
      </c>
      <c r="BI7" s="216">
        <v>52010</v>
      </c>
      <c r="BJ7" s="216">
        <v>-45898</v>
      </c>
      <c r="BK7" s="216">
        <v>29745</v>
      </c>
      <c r="BL7" s="216">
        <v>18410</v>
      </c>
      <c r="BM7" s="151"/>
      <c r="BO7" s="216">
        <v>-40</v>
      </c>
      <c r="BP7" s="216">
        <v>147</v>
      </c>
      <c r="BQ7" s="216">
        <v>2364</v>
      </c>
      <c r="BR7" s="216">
        <v>2215</v>
      </c>
      <c r="BS7" s="216">
        <v>0</v>
      </c>
      <c r="BT7" s="216">
        <v>182</v>
      </c>
      <c r="BU7" s="216">
        <v>-33</v>
      </c>
      <c r="BV7" s="184">
        <v>94</v>
      </c>
      <c r="BW7" s="183">
        <v>0</v>
      </c>
      <c r="BX7" s="183">
        <v>0</v>
      </c>
      <c r="BY7" s="183">
        <v>61</v>
      </c>
      <c r="BZ7" s="183">
        <v>11007</v>
      </c>
      <c r="CA7" s="183">
        <v>2079</v>
      </c>
      <c r="CB7" s="167"/>
      <c r="CC7" s="183">
        <v>396</v>
      </c>
      <c r="CD7" s="183">
        <v>-15</v>
      </c>
      <c r="CE7" s="180">
        <v>145</v>
      </c>
      <c r="CF7" s="139">
        <v>29745</v>
      </c>
      <c r="CG7" s="216">
        <v>25296</v>
      </c>
      <c r="CH7" s="216">
        <v>1538</v>
      </c>
      <c r="CI7" s="216">
        <v>2911</v>
      </c>
      <c r="CJ7" s="212">
        <v>20.75</v>
      </c>
      <c r="CK7" s="144"/>
      <c r="CL7" s="130">
        <v>90</v>
      </c>
      <c r="CM7" s="228">
        <v>8059</v>
      </c>
      <c r="CN7" s="138"/>
      <c r="CO7" s="142">
        <v>160.92592592592592</v>
      </c>
      <c r="CP7" s="142">
        <v>10.143804937190584</v>
      </c>
      <c r="CQ7" s="183">
        <v>-381.06464821938204</v>
      </c>
      <c r="CR7" s="144"/>
      <c r="CS7"/>
      <c r="CU7" s="232">
        <v>87.028956763189214</v>
      </c>
      <c r="CV7" s="143">
        <v>110.80779253009058</v>
      </c>
      <c r="CW7" s="146">
        <v>6.1119653471844586</v>
      </c>
      <c r="CX7" s="143">
        <v>6617.3222484179178</v>
      </c>
      <c r="CY7" s="131">
        <v>13872</v>
      </c>
      <c r="CZ7" s="229">
        <v>5611</v>
      </c>
      <c r="DA7" s="229">
        <v>50709</v>
      </c>
      <c r="DB7" s="216">
        <v>-45098</v>
      </c>
      <c r="DC7" s="229">
        <v>31883</v>
      </c>
      <c r="DD7" s="229">
        <v>21892</v>
      </c>
      <c r="DE7" s="151"/>
      <c r="DG7" s="229">
        <v>-44</v>
      </c>
      <c r="DH7" s="229">
        <v>13</v>
      </c>
      <c r="DI7" s="229">
        <v>8646</v>
      </c>
      <c r="DJ7" s="229">
        <v>2509</v>
      </c>
      <c r="DK7" s="229">
        <v>0</v>
      </c>
      <c r="DL7" s="229">
        <v>0</v>
      </c>
      <c r="DM7" s="229">
        <v>6137</v>
      </c>
      <c r="DN7" s="131">
        <v>94</v>
      </c>
      <c r="DO7" s="130">
        <v>-5000</v>
      </c>
      <c r="DP7" s="130">
        <v>0</v>
      </c>
      <c r="DQ7" s="130">
        <v>1231</v>
      </c>
      <c r="DR7" s="130">
        <v>12238</v>
      </c>
      <c r="DS7" s="130">
        <v>8594</v>
      </c>
      <c r="DT7" s="167"/>
      <c r="DU7" s="183">
        <v>-1107</v>
      </c>
      <c r="DV7" s="183">
        <v>-10</v>
      </c>
      <c r="DW7" s="180">
        <v>6563</v>
      </c>
      <c r="DX7" s="130">
        <v>31883</v>
      </c>
      <c r="DY7" s="229">
        <v>27480</v>
      </c>
      <c r="DZ7" s="229">
        <v>1731</v>
      </c>
      <c r="EA7" s="229">
        <v>2672</v>
      </c>
      <c r="EB7" s="212">
        <v>20.75</v>
      </c>
      <c r="EC7" s="208"/>
      <c r="ED7" s="183">
        <v>21.786764705882401</v>
      </c>
      <c r="EE7" s="3">
        <v>32499</v>
      </c>
      <c r="EF7" s="183">
        <v>34689</v>
      </c>
      <c r="EG7" s="130">
        <v>33295</v>
      </c>
      <c r="EH7" s="130"/>
      <c r="EI7" s="130"/>
      <c r="EJ7" s="130"/>
      <c r="EK7" s="183">
        <v>-1179</v>
      </c>
      <c r="EL7" s="183">
        <v>95</v>
      </c>
      <c r="EM7" s="183">
        <v>165</v>
      </c>
      <c r="EN7" s="226">
        <v>-2006</v>
      </c>
      <c r="EO7" s="226">
        <v>0</v>
      </c>
      <c r="EP7" s="226">
        <v>72</v>
      </c>
      <c r="EQ7" s="226">
        <v>-2276</v>
      </c>
      <c r="ER7" s="230">
        <v>19</v>
      </c>
      <c r="ES7" s="230">
        <v>226</v>
      </c>
      <c r="ET7" s="3">
        <v>0</v>
      </c>
      <c r="EU7" s="211">
        <v>-1500</v>
      </c>
      <c r="EV7" s="183">
        <v>0</v>
      </c>
      <c r="EW7" s="183">
        <v>-3000</v>
      </c>
      <c r="EX7" s="130">
        <v>0</v>
      </c>
      <c r="EY7" s="183">
        <v>-5500</v>
      </c>
      <c r="EZ7" s="3">
        <v>10470</v>
      </c>
      <c r="FA7" s="3">
        <v>1455</v>
      </c>
      <c r="FB7" s="3">
        <v>9015</v>
      </c>
      <c r="FC7" s="3">
        <v>810</v>
      </c>
      <c r="FD7" s="226">
        <v>7455</v>
      </c>
      <c r="FE7" s="183">
        <v>1445</v>
      </c>
      <c r="FF7" s="183">
        <v>6010</v>
      </c>
      <c r="FG7" s="183">
        <v>810</v>
      </c>
      <c r="FH7" s="230">
        <v>1945</v>
      </c>
      <c r="FI7" s="130">
        <v>1435</v>
      </c>
      <c r="FJ7" s="130">
        <v>510</v>
      </c>
      <c r="FK7" s="130">
        <v>791</v>
      </c>
      <c r="FL7" s="29">
        <v>2835.6853601668918</v>
      </c>
      <c r="FM7" s="139">
        <v>2404.6764815043916</v>
      </c>
      <c r="FN7" s="139">
        <v>1623.5264921206106</v>
      </c>
      <c r="FO7" s="172">
        <f t="shared" si="0"/>
        <v>1324.3373493975903</v>
      </c>
      <c r="FP7" s="170">
        <f t="shared" si="1"/>
        <v>164.33023320481331</v>
      </c>
      <c r="FR7" s="175"/>
      <c r="FS7" s="195"/>
      <c r="FV7" s="175">
        <v>380</v>
      </c>
      <c r="FW7" s="2">
        <f t="shared" si="2"/>
        <v>-380</v>
      </c>
      <c r="FZ7" s="186"/>
      <c r="GA7" s="2"/>
      <c r="GB7" s="2"/>
    </row>
    <row r="8" spans="1:185" ht="13" x14ac:dyDescent="0.3">
      <c r="A8" s="77">
        <v>18</v>
      </c>
      <c r="B8" s="75" t="s">
        <v>6</v>
      </c>
      <c r="C8" s="179">
        <v>4958</v>
      </c>
      <c r="D8" s="138"/>
      <c r="E8" s="142">
        <v>-1.3781223083548665E-2</v>
      </c>
      <c r="F8" s="142">
        <v>81.339901477832512</v>
      </c>
      <c r="G8" s="183">
        <v>-3928.8019362646228</v>
      </c>
      <c r="H8" s="144"/>
      <c r="I8" s="186"/>
      <c r="K8" s="210">
        <v>22.155937127146341</v>
      </c>
      <c r="L8" s="143">
        <v>793.66680112948768</v>
      </c>
      <c r="M8" s="146">
        <v>42.155352058935748</v>
      </c>
      <c r="N8" s="143">
        <v>6871.9241629689386</v>
      </c>
      <c r="O8" s="138">
        <v>13618</v>
      </c>
      <c r="P8" s="143">
        <v>4412</v>
      </c>
      <c r="Q8" s="184">
        <v>30745</v>
      </c>
      <c r="R8" s="184">
        <v>-26333</v>
      </c>
      <c r="S8" s="139">
        <v>18547</v>
      </c>
      <c r="T8" s="138">
        <v>7491</v>
      </c>
      <c r="U8" s="151"/>
      <c r="W8" s="183">
        <v>-182</v>
      </c>
      <c r="X8" s="183">
        <v>279</v>
      </c>
      <c r="Y8" s="184">
        <v>-198</v>
      </c>
      <c r="Z8" s="130">
        <v>1255</v>
      </c>
      <c r="AA8" s="130">
        <v>2228</v>
      </c>
      <c r="AB8" s="130">
        <v>0</v>
      </c>
      <c r="AC8" s="184">
        <v>775</v>
      </c>
      <c r="AD8" s="183">
        <v>0</v>
      </c>
      <c r="AE8" s="183">
        <v>0</v>
      </c>
      <c r="AF8" s="183">
        <v>0</v>
      </c>
      <c r="AG8" s="183">
        <v>775</v>
      </c>
      <c r="AH8" s="183">
        <v>-699</v>
      </c>
      <c r="AI8" s="183">
        <v>1965</v>
      </c>
      <c r="AJ8" s="167"/>
      <c r="AK8" s="183">
        <v>125</v>
      </c>
      <c r="AL8" s="183">
        <v>-979</v>
      </c>
      <c r="AM8" s="180">
        <v>189</v>
      </c>
      <c r="AN8" s="139">
        <v>18547</v>
      </c>
      <c r="AO8" s="138">
        <v>16454</v>
      </c>
      <c r="AP8" s="184">
        <v>949</v>
      </c>
      <c r="AQ8" s="138">
        <v>1144</v>
      </c>
      <c r="AR8" s="109">
        <v>20.75</v>
      </c>
      <c r="AS8" s="144"/>
      <c r="AT8" s="139">
        <v>264</v>
      </c>
      <c r="AU8" s="228">
        <v>4943</v>
      </c>
      <c r="AV8" s="138"/>
      <c r="AW8" s="224">
        <v>0.73018462222881297</v>
      </c>
      <c r="AX8" s="225">
        <v>84.090208885328735</v>
      </c>
      <c r="AY8" s="139">
        <v>-3763.3016386809632</v>
      </c>
      <c r="AZ8" s="144"/>
      <c r="BA8"/>
      <c r="BC8" s="189">
        <v>27.030898301616535</v>
      </c>
      <c r="BD8" s="183">
        <v>1226.1784341493021</v>
      </c>
      <c r="BE8" s="140">
        <v>61.518450543644505</v>
      </c>
      <c r="BF8" s="139">
        <v>7275.1365567469147</v>
      </c>
      <c r="BG8" s="184">
        <v>13781</v>
      </c>
      <c r="BH8" s="216">
        <v>4448</v>
      </c>
      <c r="BI8" s="216">
        <v>30316</v>
      </c>
      <c r="BJ8" s="216">
        <v>-25868</v>
      </c>
      <c r="BK8" s="216">
        <v>19707</v>
      </c>
      <c r="BL8" s="216">
        <v>8303</v>
      </c>
      <c r="BM8" s="151"/>
      <c r="BO8" s="216">
        <v>-231</v>
      </c>
      <c r="BP8" s="216">
        <v>319</v>
      </c>
      <c r="BQ8" s="216">
        <v>2230</v>
      </c>
      <c r="BR8" s="216">
        <v>1274</v>
      </c>
      <c r="BS8" s="216">
        <v>2496</v>
      </c>
      <c r="BT8" s="216">
        <v>0</v>
      </c>
      <c r="BU8" s="216">
        <v>3452</v>
      </c>
      <c r="BV8" s="183">
        <v>0</v>
      </c>
      <c r="BW8" s="183">
        <v>0</v>
      </c>
      <c r="BX8" s="183">
        <v>0</v>
      </c>
      <c r="BY8" s="183">
        <v>3452</v>
      </c>
      <c r="BZ8" s="183">
        <v>2648</v>
      </c>
      <c r="CA8" s="183">
        <v>4638</v>
      </c>
      <c r="CB8" s="167"/>
      <c r="CC8" s="183">
        <v>-1278</v>
      </c>
      <c r="CD8" s="183">
        <v>-1238</v>
      </c>
      <c r="CE8" s="180">
        <v>1046</v>
      </c>
      <c r="CF8" s="139">
        <v>19707</v>
      </c>
      <c r="CG8" s="216">
        <v>17550</v>
      </c>
      <c r="CH8" s="216">
        <v>957</v>
      </c>
      <c r="CI8" s="216">
        <v>1200</v>
      </c>
      <c r="CJ8" s="212">
        <v>21.5</v>
      </c>
      <c r="CK8" s="144"/>
      <c r="CL8" s="130">
        <v>43</v>
      </c>
      <c r="CM8" s="228">
        <v>4878</v>
      </c>
      <c r="CN8" s="138"/>
      <c r="CO8" s="142">
        <v>2.606299212598425</v>
      </c>
      <c r="CP8" s="142">
        <v>81.299611796743733</v>
      </c>
      <c r="CQ8" s="183">
        <v>-3670.5617056170563</v>
      </c>
      <c r="CR8" s="144"/>
      <c r="CS8"/>
      <c r="CU8" s="232">
        <v>33.043519687477669</v>
      </c>
      <c r="CV8" s="143">
        <v>1757.8925789257892</v>
      </c>
      <c r="CW8" s="146">
        <v>87.3291015625</v>
      </c>
      <c r="CX8" s="143">
        <v>7347.273472734727</v>
      </c>
      <c r="CY8" s="131">
        <v>13415</v>
      </c>
      <c r="CZ8" s="229">
        <v>4111</v>
      </c>
      <c r="DA8" s="229">
        <v>30586</v>
      </c>
      <c r="DB8" s="216">
        <v>-26475</v>
      </c>
      <c r="DC8" s="229">
        <v>20456</v>
      </c>
      <c r="DD8" s="229">
        <v>9951</v>
      </c>
      <c r="DE8" s="151"/>
      <c r="DG8" s="229">
        <v>-173</v>
      </c>
      <c r="DH8" s="229">
        <v>366</v>
      </c>
      <c r="DI8" s="229">
        <v>4125</v>
      </c>
      <c r="DJ8" s="229">
        <v>2141</v>
      </c>
      <c r="DK8" s="229">
        <v>0</v>
      </c>
      <c r="DL8" s="229">
        <v>0</v>
      </c>
      <c r="DM8" s="229">
        <v>1984</v>
      </c>
      <c r="DN8" s="130">
        <v>0</v>
      </c>
      <c r="DO8" s="130">
        <v>0</v>
      </c>
      <c r="DP8" s="130">
        <v>0</v>
      </c>
      <c r="DQ8" s="130">
        <v>1984</v>
      </c>
      <c r="DR8" s="130">
        <v>4631</v>
      </c>
      <c r="DS8" s="130">
        <v>4098</v>
      </c>
      <c r="DT8" s="167"/>
      <c r="DU8" s="183">
        <v>1047</v>
      </c>
      <c r="DV8" s="183">
        <v>-1473</v>
      </c>
      <c r="DW8" s="180">
        <v>694</v>
      </c>
      <c r="DX8" s="130">
        <v>20456</v>
      </c>
      <c r="DY8" s="229">
        <v>18369</v>
      </c>
      <c r="DZ8" s="229">
        <v>1008</v>
      </c>
      <c r="EA8" s="229">
        <v>1079</v>
      </c>
      <c r="EB8" s="212">
        <v>21.5</v>
      </c>
      <c r="EC8" s="208"/>
      <c r="ED8" s="183">
        <v>72.154411764705898</v>
      </c>
      <c r="EE8" s="3">
        <v>13333</v>
      </c>
      <c r="EF8" s="183">
        <v>12858</v>
      </c>
      <c r="EG8" s="130">
        <v>13433</v>
      </c>
      <c r="EH8" s="130"/>
      <c r="EI8" s="130">
        <v>680</v>
      </c>
      <c r="EJ8" s="130"/>
      <c r="EK8" s="183">
        <v>-2145</v>
      </c>
      <c r="EL8" s="183">
        <v>13</v>
      </c>
      <c r="EM8" s="183">
        <v>356</v>
      </c>
      <c r="EN8" s="226">
        <v>-4153</v>
      </c>
      <c r="EO8" s="226">
        <v>308</v>
      </c>
      <c r="EP8" s="226">
        <v>253</v>
      </c>
      <c r="EQ8" s="226">
        <v>-3582</v>
      </c>
      <c r="ER8" s="230">
        <v>114</v>
      </c>
      <c r="ES8" s="230">
        <v>64</v>
      </c>
      <c r="ET8" s="3">
        <v>5000</v>
      </c>
      <c r="EU8" s="211">
        <v>-2243</v>
      </c>
      <c r="EV8" s="183">
        <v>5000</v>
      </c>
      <c r="EW8" s="183">
        <v>-2000</v>
      </c>
      <c r="EX8" s="130">
        <v>0</v>
      </c>
      <c r="EY8" s="183">
        <v>3500</v>
      </c>
      <c r="EZ8" s="3">
        <v>21209</v>
      </c>
      <c r="FA8" s="3">
        <v>15576</v>
      </c>
      <c r="FB8" s="3">
        <v>5633</v>
      </c>
      <c r="FC8" s="3">
        <v>0</v>
      </c>
      <c r="FD8" s="226">
        <v>22972</v>
      </c>
      <c r="FE8" s="183">
        <v>18999</v>
      </c>
      <c r="FF8" s="183">
        <v>3973</v>
      </c>
      <c r="FG8" s="183">
        <v>0</v>
      </c>
      <c r="FH8" s="230">
        <v>24997</v>
      </c>
      <c r="FI8" s="130">
        <v>17473</v>
      </c>
      <c r="FJ8" s="130">
        <v>7524</v>
      </c>
      <c r="FK8" s="130">
        <v>0</v>
      </c>
      <c r="FL8" s="29">
        <v>5681.3231141589349</v>
      </c>
      <c r="FM8" s="139">
        <v>6031.7620878009302</v>
      </c>
      <c r="FN8" s="139">
        <v>6696.3919639196392</v>
      </c>
      <c r="FO8" s="172">
        <f t="shared" si="0"/>
        <v>854.37209302325584</v>
      </c>
      <c r="FP8" s="170">
        <f t="shared" si="1"/>
        <v>175.14803055007295</v>
      </c>
      <c r="FR8" s="175"/>
      <c r="FS8" s="195"/>
      <c r="FV8" s="175">
        <v>699</v>
      </c>
      <c r="FW8" s="2">
        <f t="shared" si="2"/>
        <v>-699</v>
      </c>
      <c r="FZ8" s="186"/>
      <c r="GA8" s="2"/>
      <c r="GB8" s="2"/>
    </row>
    <row r="9" spans="1:185" ht="13" x14ac:dyDescent="0.3">
      <c r="A9" s="77">
        <v>19</v>
      </c>
      <c r="B9" s="75" t="s">
        <v>7</v>
      </c>
      <c r="C9" s="179">
        <v>3984</v>
      </c>
      <c r="D9" s="138"/>
      <c r="E9" s="142">
        <v>1.1440329218106995</v>
      </c>
      <c r="F9" s="142">
        <v>60.236665796571828</v>
      </c>
      <c r="G9" s="183">
        <v>-3204.5682730923695</v>
      </c>
      <c r="H9" s="144"/>
      <c r="I9" s="186"/>
      <c r="K9" s="210">
        <v>27.083119284907017</v>
      </c>
      <c r="L9" s="143">
        <v>26.857429718875501</v>
      </c>
      <c r="M9" s="146">
        <v>1.5820067241868192</v>
      </c>
      <c r="N9" s="143">
        <v>6196.5361445783128</v>
      </c>
      <c r="O9" s="138">
        <v>6172</v>
      </c>
      <c r="P9" s="143">
        <v>2672</v>
      </c>
      <c r="Q9" s="184">
        <v>22180</v>
      </c>
      <c r="R9" s="184">
        <v>-19508</v>
      </c>
      <c r="S9" s="139">
        <v>14314</v>
      </c>
      <c r="T9" s="138">
        <v>6000</v>
      </c>
      <c r="U9" s="151"/>
      <c r="W9" s="183">
        <v>-15</v>
      </c>
      <c r="X9" s="183">
        <v>28</v>
      </c>
      <c r="Y9" s="184">
        <v>819</v>
      </c>
      <c r="Z9" s="130">
        <v>804</v>
      </c>
      <c r="AA9" s="131">
        <v>0</v>
      </c>
      <c r="AB9" s="130">
        <v>0</v>
      </c>
      <c r="AC9" s="184">
        <v>15</v>
      </c>
      <c r="AD9" s="184">
        <v>28</v>
      </c>
      <c r="AE9" s="183">
        <v>0</v>
      </c>
      <c r="AF9" s="183">
        <v>0</v>
      </c>
      <c r="AG9" s="183">
        <v>43</v>
      </c>
      <c r="AH9" s="183">
        <v>179</v>
      </c>
      <c r="AI9" s="183">
        <v>643</v>
      </c>
      <c r="AJ9" s="167"/>
      <c r="AK9" s="183">
        <v>-215</v>
      </c>
      <c r="AL9" s="183">
        <v>-714</v>
      </c>
      <c r="AM9" s="180">
        <v>-977</v>
      </c>
      <c r="AN9" s="139">
        <v>14314</v>
      </c>
      <c r="AO9" s="138">
        <v>12992</v>
      </c>
      <c r="AP9" s="184">
        <v>571</v>
      </c>
      <c r="AQ9" s="138">
        <v>751</v>
      </c>
      <c r="AR9" s="109">
        <v>21.75</v>
      </c>
      <c r="AS9" s="144"/>
      <c r="AT9" s="139">
        <v>163</v>
      </c>
      <c r="AU9" s="228">
        <v>3941</v>
      </c>
      <c r="AV9" s="138"/>
      <c r="AW9" s="224">
        <v>0.35407786302926969</v>
      </c>
      <c r="AX9" s="225">
        <v>64.10344237026888</v>
      </c>
      <c r="AY9" s="139">
        <v>-3314.6409540725704</v>
      </c>
      <c r="AZ9" s="144"/>
      <c r="BA9"/>
      <c r="BC9" s="189">
        <v>24.504793887185478</v>
      </c>
      <c r="BD9" s="183">
        <v>248.92159350418675</v>
      </c>
      <c r="BE9" s="140">
        <v>14.539529784382994</v>
      </c>
      <c r="BF9" s="139">
        <v>6248.9215935041866</v>
      </c>
      <c r="BG9" s="184">
        <v>6514</v>
      </c>
      <c r="BH9" s="216">
        <v>2647</v>
      </c>
      <c r="BI9" s="216">
        <v>22749</v>
      </c>
      <c r="BJ9" s="216">
        <v>-20102</v>
      </c>
      <c r="BK9" s="216">
        <v>14707</v>
      </c>
      <c r="BL9" s="216">
        <v>6002</v>
      </c>
      <c r="BM9" s="151"/>
      <c r="BO9" s="216">
        <v>-13</v>
      </c>
      <c r="BP9" s="216">
        <v>16</v>
      </c>
      <c r="BQ9" s="216">
        <v>610</v>
      </c>
      <c r="BR9" s="216">
        <v>847</v>
      </c>
      <c r="BS9" s="216">
        <v>0</v>
      </c>
      <c r="BT9" s="216">
        <v>0</v>
      </c>
      <c r="BU9" s="216">
        <v>-237</v>
      </c>
      <c r="BV9" s="184">
        <v>28</v>
      </c>
      <c r="BW9" s="183">
        <v>0</v>
      </c>
      <c r="BX9" s="183">
        <v>0</v>
      </c>
      <c r="BY9" s="183">
        <v>-209</v>
      </c>
      <c r="BZ9" s="183">
        <v>-30</v>
      </c>
      <c r="CA9" s="183">
        <v>747</v>
      </c>
      <c r="CB9" s="167"/>
      <c r="CC9" s="183">
        <v>44</v>
      </c>
      <c r="CD9" s="183">
        <v>-714</v>
      </c>
      <c r="CE9" s="180">
        <v>-317</v>
      </c>
      <c r="CF9" s="139">
        <v>14707</v>
      </c>
      <c r="CG9" s="216">
        <v>13353</v>
      </c>
      <c r="CH9" s="216">
        <v>603</v>
      </c>
      <c r="CI9" s="216">
        <v>751</v>
      </c>
      <c r="CJ9" s="212">
        <v>21.75</v>
      </c>
      <c r="CK9" s="144"/>
      <c r="CL9" s="130">
        <v>153</v>
      </c>
      <c r="CM9" s="228">
        <v>3959</v>
      </c>
      <c r="CN9" s="138"/>
      <c r="CO9" s="142">
        <v>2.5459677419354838</v>
      </c>
      <c r="CP9" s="142">
        <v>55.662202663226978</v>
      </c>
      <c r="CQ9" s="183">
        <v>-2722.9098257135638</v>
      </c>
      <c r="CR9" s="144"/>
      <c r="CS9"/>
      <c r="CU9" s="232">
        <v>32.438339057133938</v>
      </c>
      <c r="CV9" s="143">
        <v>799.94948219247283</v>
      </c>
      <c r="CW9" s="146">
        <v>45.569243505341582</v>
      </c>
      <c r="CX9" s="143">
        <v>6407.4261177064918</v>
      </c>
      <c r="CY9" s="131">
        <v>6688</v>
      </c>
      <c r="CZ9" s="229">
        <v>2657</v>
      </c>
      <c r="DA9" s="229">
        <v>23226</v>
      </c>
      <c r="DB9" s="216">
        <v>-20569</v>
      </c>
      <c r="DC9" s="229">
        <v>15595</v>
      </c>
      <c r="DD9" s="229">
        <v>8107</v>
      </c>
      <c r="DE9" s="151"/>
      <c r="DG9" s="229">
        <v>-26</v>
      </c>
      <c r="DH9" s="229">
        <v>24</v>
      </c>
      <c r="DI9" s="229">
        <v>3131</v>
      </c>
      <c r="DJ9" s="229">
        <v>893</v>
      </c>
      <c r="DK9" s="229">
        <v>0</v>
      </c>
      <c r="DL9" s="229">
        <v>0</v>
      </c>
      <c r="DM9" s="229">
        <v>2238</v>
      </c>
      <c r="DN9" s="131">
        <v>28</v>
      </c>
      <c r="DO9" s="130">
        <v>0</v>
      </c>
      <c r="DP9" s="130">
        <v>0</v>
      </c>
      <c r="DQ9" s="130">
        <v>2266</v>
      </c>
      <c r="DR9" s="130">
        <v>2236</v>
      </c>
      <c r="DS9" s="130">
        <v>2883</v>
      </c>
      <c r="DT9" s="167"/>
      <c r="DU9" s="183">
        <v>203</v>
      </c>
      <c r="DV9" s="183">
        <v>-1214</v>
      </c>
      <c r="DW9" s="180">
        <v>2177</v>
      </c>
      <c r="DX9" s="130">
        <v>15595</v>
      </c>
      <c r="DY9" s="229">
        <v>14340</v>
      </c>
      <c r="DZ9" s="229">
        <v>541</v>
      </c>
      <c r="EA9" s="229">
        <v>714</v>
      </c>
      <c r="EB9" s="212">
        <v>21.5</v>
      </c>
      <c r="EC9" s="208"/>
      <c r="ED9" s="183">
        <v>91.294117647058897</v>
      </c>
      <c r="EE9" s="3">
        <v>12947</v>
      </c>
      <c r="EF9" s="183">
        <v>12935</v>
      </c>
      <c r="EG9" s="130">
        <v>13287</v>
      </c>
      <c r="EH9" s="130"/>
      <c r="EI9" s="130"/>
      <c r="EJ9" s="130">
        <v>540</v>
      </c>
      <c r="EK9" s="183">
        <v>-1759</v>
      </c>
      <c r="EL9" s="183">
        <v>0</v>
      </c>
      <c r="EM9" s="183">
        <v>139</v>
      </c>
      <c r="EN9" s="226">
        <v>-1132</v>
      </c>
      <c r="EO9" s="226">
        <v>22</v>
      </c>
      <c r="EP9" s="226">
        <v>46</v>
      </c>
      <c r="EQ9" s="226">
        <v>-888</v>
      </c>
      <c r="ER9" s="230">
        <v>1</v>
      </c>
      <c r="ES9" s="230">
        <v>181</v>
      </c>
      <c r="ET9" s="3">
        <v>0</v>
      </c>
      <c r="EU9" s="211">
        <v>200</v>
      </c>
      <c r="EV9" s="183">
        <v>5000</v>
      </c>
      <c r="EW9" s="183">
        <v>-2700</v>
      </c>
      <c r="EX9" s="130">
        <v>0</v>
      </c>
      <c r="EY9" s="183">
        <v>500</v>
      </c>
      <c r="EZ9" s="3">
        <v>11462</v>
      </c>
      <c r="FA9" s="3">
        <v>1548</v>
      </c>
      <c r="FB9" s="3">
        <v>9914</v>
      </c>
      <c r="FC9" s="3">
        <v>0</v>
      </c>
      <c r="FD9" s="226">
        <v>13047</v>
      </c>
      <c r="FE9" s="183">
        <v>5333</v>
      </c>
      <c r="FF9" s="183">
        <v>7714</v>
      </c>
      <c r="FG9" s="183">
        <v>0</v>
      </c>
      <c r="FH9" s="230">
        <v>12333</v>
      </c>
      <c r="FI9" s="130">
        <v>4357</v>
      </c>
      <c r="FJ9" s="130">
        <v>7976</v>
      </c>
      <c r="FK9" s="130">
        <v>0</v>
      </c>
      <c r="FL9" s="29">
        <v>3577.0582329317267</v>
      </c>
      <c r="FM9" s="139">
        <v>3948.2364882009642</v>
      </c>
      <c r="FN9" s="139">
        <v>3688.3051275574639</v>
      </c>
      <c r="FO9" s="172">
        <f t="shared" si="0"/>
        <v>666.97674418604652</v>
      </c>
      <c r="FP9" s="170">
        <f t="shared" si="1"/>
        <v>168.47101393939036</v>
      </c>
      <c r="FR9" s="175"/>
      <c r="FS9" s="195"/>
      <c r="FV9" s="175">
        <v>607</v>
      </c>
      <c r="FW9" s="2">
        <f t="shared" si="2"/>
        <v>-607</v>
      </c>
      <c r="FZ9" s="186"/>
      <c r="GA9" s="2"/>
      <c r="GB9" s="2"/>
    </row>
    <row r="10" spans="1:185" ht="13" x14ac:dyDescent="0.3">
      <c r="A10" s="77">
        <v>46</v>
      </c>
      <c r="B10" s="75" t="s">
        <v>8</v>
      </c>
      <c r="C10" s="179">
        <v>1405</v>
      </c>
      <c r="D10" s="138"/>
      <c r="E10" s="142" t="e">
        <v>#DIV/0!</v>
      </c>
      <c r="F10" s="142">
        <v>13.286775897573641</v>
      </c>
      <c r="G10" s="183">
        <v>1288.9679715302491</v>
      </c>
      <c r="H10" s="144"/>
      <c r="I10" s="186"/>
      <c r="K10" s="210">
        <v>87.912354463130654</v>
      </c>
      <c r="L10" s="143">
        <v>1987.9003558718862</v>
      </c>
      <c r="M10" s="146">
        <v>86.864775051124738</v>
      </c>
      <c r="N10" s="143">
        <v>8353.0249110320274</v>
      </c>
      <c r="O10" s="138">
        <v>2372</v>
      </c>
      <c r="P10" s="143">
        <v>1385</v>
      </c>
      <c r="Q10" s="184">
        <v>10931</v>
      </c>
      <c r="R10" s="184">
        <v>-9546</v>
      </c>
      <c r="S10" s="139">
        <v>4481</v>
      </c>
      <c r="T10" s="138">
        <v>5335</v>
      </c>
      <c r="U10" s="151"/>
      <c r="W10" s="183">
        <v>17</v>
      </c>
      <c r="X10" s="183">
        <v>52</v>
      </c>
      <c r="Y10" s="184">
        <v>339</v>
      </c>
      <c r="Z10" s="130">
        <v>595</v>
      </c>
      <c r="AA10" s="130">
        <v>0</v>
      </c>
      <c r="AB10" s="130">
        <v>0</v>
      </c>
      <c r="AC10" s="184">
        <v>-256</v>
      </c>
      <c r="AD10" s="183">
        <v>0</v>
      </c>
      <c r="AE10" s="183">
        <v>0</v>
      </c>
      <c r="AF10" s="184">
        <v>1</v>
      </c>
      <c r="AG10" s="183">
        <v>-255</v>
      </c>
      <c r="AH10" s="183">
        <v>5864</v>
      </c>
      <c r="AI10" s="183">
        <v>339</v>
      </c>
      <c r="AJ10" s="167"/>
      <c r="AK10" s="183">
        <v>147</v>
      </c>
      <c r="AL10" s="183">
        <v>0</v>
      </c>
      <c r="AM10" s="180">
        <v>-357</v>
      </c>
      <c r="AN10" s="139">
        <v>4481</v>
      </c>
      <c r="AO10" s="138">
        <v>3379</v>
      </c>
      <c r="AP10" s="184">
        <v>569</v>
      </c>
      <c r="AQ10" s="138">
        <v>533</v>
      </c>
      <c r="AR10" s="109">
        <v>21</v>
      </c>
      <c r="AS10" s="144"/>
      <c r="AT10" s="139">
        <v>143</v>
      </c>
      <c r="AU10" s="228">
        <v>1361</v>
      </c>
      <c r="AV10" s="138"/>
      <c r="AW10" s="224">
        <v>7.6088474970896387</v>
      </c>
      <c r="AX10" s="225">
        <v>10.682596854959149</v>
      </c>
      <c r="AY10" s="139">
        <v>1544.4526083761939</v>
      </c>
      <c r="AZ10" s="144"/>
      <c r="BA10"/>
      <c r="BC10" s="189">
        <v>89.985320502365028</v>
      </c>
      <c r="BD10" s="183">
        <v>2108.0088170462896</v>
      </c>
      <c r="BE10" s="140">
        <v>93.265496971856081</v>
      </c>
      <c r="BF10" s="139">
        <v>8249.8163115356347</v>
      </c>
      <c r="BG10" s="184">
        <v>2446</v>
      </c>
      <c r="BH10" s="216">
        <v>1423</v>
      </c>
      <c r="BI10" s="216">
        <v>10689</v>
      </c>
      <c r="BJ10" s="216">
        <v>-9244</v>
      </c>
      <c r="BK10" s="216">
        <v>4713</v>
      </c>
      <c r="BL10" s="216">
        <v>5247</v>
      </c>
      <c r="BM10" s="151"/>
      <c r="BO10" s="216">
        <v>12</v>
      </c>
      <c r="BP10" s="216">
        <v>89</v>
      </c>
      <c r="BQ10" s="216">
        <v>817</v>
      </c>
      <c r="BR10" s="216">
        <v>655</v>
      </c>
      <c r="BS10" s="216">
        <v>0</v>
      </c>
      <c r="BT10" s="216">
        <v>0</v>
      </c>
      <c r="BU10" s="216">
        <v>162</v>
      </c>
      <c r="BV10" s="183">
        <v>0</v>
      </c>
      <c r="BW10" s="183">
        <v>0</v>
      </c>
      <c r="BX10" s="184">
        <v>0</v>
      </c>
      <c r="BY10" s="183">
        <v>162</v>
      </c>
      <c r="BZ10" s="183">
        <v>6025</v>
      </c>
      <c r="CA10" s="183">
        <v>817</v>
      </c>
      <c r="CB10" s="167"/>
      <c r="CC10" s="183">
        <v>54</v>
      </c>
      <c r="CD10" s="183">
        <v>0</v>
      </c>
      <c r="CE10" s="180">
        <v>267</v>
      </c>
      <c r="CF10" s="139">
        <v>4713</v>
      </c>
      <c r="CG10" s="216">
        <v>3580</v>
      </c>
      <c r="CH10" s="216">
        <v>597</v>
      </c>
      <c r="CI10" s="216">
        <v>536</v>
      </c>
      <c r="CJ10" s="212">
        <v>21</v>
      </c>
      <c r="CK10" s="144"/>
      <c r="CL10" s="130">
        <v>15</v>
      </c>
      <c r="CM10" s="228">
        <v>1369</v>
      </c>
      <c r="CN10" s="138"/>
      <c r="CO10" s="142" t="e">
        <v>#DIV/0!</v>
      </c>
      <c r="CP10" s="142">
        <v>11.057046979865772</v>
      </c>
      <c r="CQ10" s="183">
        <v>2508.4002921840761</v>
      </c>
      <c r="CR10" s="144"/>
      <c r="CS10"/>
      <c r="CU10" s="232">
        <v>88.432256633897552</v>
      </c>
      <c r="CV10" s="143">
        <v>3284.8794740686631</v>
      </c>
      <c r="CW10" s="146">
        <v>151.81326304106548</v>
      </c>
      <c r="CX10" s="143">
        <v>7897.7355734112489</v>
      </c>
      <c r="CY10" s="131">
        <v>2445</v>
      </c>
      <c r="CZ10" s="229">
        <v>1564</v>
      </c>
      <c r="DA10" s="229">
        <v>10567</v>
      </c>
      <c r="DB10" s="216">
        <v>-9003</v>
      </c>
      <c r="DC10" s="229">
        <v>4642</v>
      </c>
      <c r="DD10" s="229">
        <v>5745</v>
      </c>
      <c r="DE10" s="151"/>
      <c r="DG10" s="229">
        <v>8</v>
      </c>
      <c r="DH10" s="229">
        <v>110</v>
      </c>
      <c r="DI10" s="229">
        <v>1502</v>
      </c>
      <c r="DJ10" s="229">
        <v>573</v>
      </c>
      <c r="DK10" s="229">
        <v>0</v>
      </c>
      <c r="DL10" s="229">
        <v>0</v>
      </c>
      <c r="DM10" s="229">
        <v>929</v>
      </c>
      <c r="DN10" s="130">
        <v>0</v>
      </c>
      <c r="DO10" s="130">
        <v>0</v>
      </c>
      <c r="DP10" s="131">
        <v>0</v>
      </c>
      <c r="DQ10" s="130">
        <v>929</v>
      </c>
      <c r="DR10" s="130">
        <v>6955</v>
      </c>
      <c r="DS10" s="130">
        <v>1433</v>
      </c>
      <c r="DT10" s="167"/>
      <c r="DU10" s="183">
        <v>-279</v>
      </c>
      <c r="DV10" s="183">
        <v>0</v>
      </c>
      <c r="DW10" s="180">
        <v>1288</v>
      </c>
      <c r="DX10" s="130">
        <v>4642</v>
      </c>
      <c r="DY10" s="229">
        <v>3472</v>
      </c>
      <c r="DZ10" s="229">
        <v>680</v>
      </c>
      <c r="EA10" s="229">
        <v>490</v>
      </c>
      <c r="EB10" s="212">
        <v>21</v>
      </c>
      <c r="EC10" s="208"/>
      <c r="ED10" s="183">
        <v>17.757352941176499</v>
      </c>
      <c r="EE10" s="3">
        <v>7560</v>
      </c>
      <c r="EF10" s="183">
        <v>7318</v>
      </c>
      <c r="EG10" s="130">
        <v>7242</v>
      </c>
      <c r="EH10" s="130"/>
      <c r="EI10" s="130"/>
      <c r="EJ10" s="130"/>
      <c r="EK10" s="183">
        <v>-780</v>
      </c>
      <c r="EL10" s="183">
        <v>80</v>
      </c>
      <c r="EM10" s="183">
        <v>4</v>
      </c>
      <c r="EN10" s="226">
        <v>-558</v>
      </c>
      <c r="EO10" s="226">
        <v>0</v>
      </c>
      <c r="EP10" s="226">
        <v>8</v>
      </c>
      <c r="EQ10" s="226">
        <v>-275</v>
      </c>
      <c r="ER10" s="230">
        <v>0</v>
      </c>
      <c r="ES10" s="230">
        <v>130</v>
      </c>
      <c r="ET10" s="3">
        <v>0</v>
      </c>
      <c r="EU10" s="211">
        <v>0</v>
      </c>
      <c r="EV10" s="183">
        <v>0</v>
      </c>
      <c r="EW10" s="183">
        <v>0</v>
      </c>
      <c r="EX10" s="130">
        <v>0</v>
      </c>
      <c r="EY10" s="183">
        <v>0</v>
      </c>
      <c r="EZ10" s="3">
        <v>0</v>
      </c>
      <c r="FA10" s="3">
        <v>0</v>
      </c>
      <c r="FB10" s="3">
        <v>0</v>
      </c>
      <c r="FC10" s="3">
        <v>286</v>
      </c>
      <c r="FD10" s="226">
        <v>0</v>
      </c>
      <c r="FE10" s="183">
        <v>0</v>
      </c>
      <c r="FF10" s="183">
        <v>0</v>
      </c>
      <c r="FG10" s="183">
        <v>261</v>
      </c>
      <c r="FH10" s="230">
        <v>0</v>
      </c>
      <c r="FI10" s="130">
        <v>0</v>
      </c>
      <c r="FJ10" s="130">
        <v>0</v>
      </c>
      <c r="FK10" s="130">
        <v>236</v>
      </c>
      <c r="FL10" s="29">
        <v>770.10676156583634</v>
      </c>
      <c r="FM10" s="139">
        <v>590.74210139603235</v>
      </c>
      <c r="FN10" s="139">
        <v>824.68955441928415</v>
      </c>
      <c r="FO10" s="172">
        <f t="shared" si="0"/>
        <v>165.33333333333334</v>
      </c>
      <c r="FP10" s="170">
        <f t="shared" si="1"/>
        <v>120.76941806671537</v>
      </c>
      <c r="FR10" s="175"/>
      <c r="FS10" s="195"/>
      <c r="FV10" s="175">
        <v>63</v>
      </c>
      <c r="FW10" s="2">
        <f t="shared" si="2"/>
        <v>-63</v>
      </c>
      <c r="FZ10" s="186"/>
      <c r="GA10" s="2"/>
      <c r="GB10" s="2"/>
    </row>
    <row r="11" spans="1:185" ht="13" x14ac:dyDescent="0.3">
      <c r="A11" s="77">
        <v>47</v>
      </c>
      <c r="B11" s="75" t="s">
        <v>9</v>
      </c>
      <c r="C11" s="179">
        <v>1852</v>
      </c>
      <c r="D11" s="138"/>
      <c r="E11" s="142">
        <v>0.88922610015174508</v>
      </c>
      <c r="F11" s="142">
        <v>34.843029143693037</v>
      </c>
      <c r="G11" s="183">
        <v>-2738.1209503239743</v>
      </c>
      <c r="H11" s="144"/>
      <c r="I11" s="186"/>
      <c r="K11" s="210">
        <v>54.992215528328707</v>
      </c>
      <c r="L11" s="143">
        <v>183.04535637149027</v>
      </c>
      <c r="M11" s="146">
        <v>6.4789506754634001</v>
      </c>
      <c r="N11" s="143">
        <v>10312.095032397408</v>
      </c>
      <c r="O11" s="138">
        <v>7223</v>
      </c>
      <c r="P11" s="143">
        <v>2808</v>
      </c>
      <c r="Q11" s="184">
        <v>17628</v>
      </c>
      <c r="R11" s="184">
        <v>-14820</v>
      </c>
      <c r="S11" s="139">
        <v>6362</v>
      </c>
      <c r="T11" s="138">
        <v>8604</v>
      </c>
      <c r="U11" s="151"/>
      <c r="W11" s="183">
        <v>-5</v>
      </c>
      <c r="X11" s="183">
        <v>394</v>
      </c>
      <c r="Y11" s="184">
        <v>535</v>
      </c>
      <c r="Z11" s="130">
        <v>354</v>
      </c>
      <c r="AA11" s="130">
        <v>0</v>
      </c>
      <c r="AB11" s="130">
        <v>0</v>
      </c>
      <c r="AC11" s="184">
        <v>181</v>
      </c>
      <c r="AD11" s="183">
        <v>0</v>
      </c>
      <c r="AE11" s="183">
        <v>0</v>
      </c>
      <c r="AF11" s="183">
        <v>0</v>
      </c>
      <c r="AG11" s="183">
        <v>181</v>
      </c>
      <c r="AH11" s="183">
        <v>1446</v>
      </c>
      <c r="AI11" s="183">
        <v>487</v>
      </c>
      <c r="AJ11" s="167"/>
      <c r="AK11" s="183">
        <v>174</v>
      </c>
      <c r="AL11" s="183">
        <v>-608</v>
      </c>
      <c r="AM11" s="180">
        <v>171</v>
      </c>
      <c r="AN11" s="139">
        <v>6362</v>
      </c>
      <c r="AO11" s="138">
        <v>5155</v>
      </c>
      <c r="AP11" s="184">
        <v>384</v>
      </c>
      <c r="AQ11" s="138">
        <v>823</v>
      </c>
      <c r="AR11" s="109">
        <v>21.25</v>
      </c>
      <c r="AS11" s="144"/>
      <c r="AT11" s="139">
        <v>115</v>
      </c>
      <c r="AU11" s="228">
        <v>1838</v>
      </c>
      <c r="AV11" s="138"/>
      <c r="AW11" s="224">
        <v>0.60100398130517574</v>
      </c>
      <c r="AX11" s="225">
        <v>37.611123774789149</v>
      </c>
      <c r="AY11" s="139">
        <v>-3074.5375408052232</v>
      </c>
      <c r="AZ11" s="144"/>
      <c r="BA11"/>
      <c r="BC11" s="189">
        <v>53.899776404051032</v>
      </c>
      <c r="BD11" s="183">
        <v>26.659412404787812</v>
      </c>
      <c r="BE11" s="140">
        <v>0.89304439007340086</v>
      </c>
      <c r="BF11" s="139">
        <v>10896.082698585418</v>
      </c>
      <c r="BG11" s="184">
        <v>6826</v>
      </c>
      <c r="BH11" s="216">
        <v>2496</v>
      </c>
      <c r="BI11" s="216">
        <v>17495</v>
      </c>
      <c r="BJ11" s="216">
        <v>-14999</v>
      </c>
      <c r="BK11" s="216">
        <v>6263</v>
      </c>
      <c r="BL11" s="216">
        <v>8789</v>
      </c>
      <c r="BM11" s="151"/>
      <c r="BO11" s="216">
        <v>-32</v>
      </c>
      <c r="BP11" s="216">
        <v>376</v>
      </c>
      <c r="BQ11" s="216">
        <v>397</v>
      </c>
      <c r="BR11" s="216">
        <v>366</v>
      </c>
      <c r="BS11" s="216">
        <v>0</v>
      </c>
      <c r="BT11" s="216">
        <v>0</v>
      </c>
      <c r="BU11" s="216">
        <v>31</v>
      </c>
      <c r="BV11" s="183">
        <v>-40</v>
      </c>
      <c r="BW11" s="183">
        <v>41</v>
      </c>
      <c r="BX11" s="183">
        <v>0</v>
      </c>
      <c r="BY11" s="183">
        <v>32</v>
      </c>
      <c r="BZ11" s="183">
        <v>1478</v>
      </c>
      <c r="CA11" s="183">
        <v>323</v>
      </c>
      <c r="CB11" s="167"/>
      <c r="CC11" s="183">
        <v>-116</v>
      </c>
      <c r="CD11" s="183">
        <v>-600</v>
      </c>
      <c r="CE11" s="180">
        <v>-615</v>
      </c>
      <c r="CF11" s="139">
        <v>6263</v>
      </c>
      <c r="CG11" s="216">
        <v>5043</v>
      </c>
      <c r="CH11" s="216">
        <v>391</v>
      </c>
      <c r="CI11" s="216">
        <v>829</v>
      </c>
      <c r="CJ11" s="212">
        <v>21.25</v>
      </c>
      <c r="CK11" s="144"/>
      <c r="CL11" s="130">
        <v>121</v>
      </c>
      <c r="CM11" s="228">
        <v>1808</v>
      </c>
      <c r="CN11" s="138"/>
      <c r="CO11" s="142">
        <v>1.9247135842880523</v>
      </c>
      <c r="CP11" s="142">
        <v>38.811603580286857</v>
      </c>
      <c r="CQ11" s="183">
        <v>-3367.8097345132742</v>
      </c>
      <c r="CR11" s="144"/>
      <c r="CS11"/>
      <c r="CU11" s="232">
        <v>53.76991365681625</v>
      </c>
      <c r="CV11" s="143">
        <v>118.36283185840708</v>
      </c>
      <c r="CW11" s="146">
        <v>3.8637712702809655</v>
      </c>
      <c r="CX11" s="143">
        <v>11181.41592920354</v>
      </c>
      <c r="CY11" s="131">
        <v>6553</v>
      </c>
      <c r="CZ11" s="229">
        <v>2399</v>
      </c>
      <c r="DA11" s="229">
        <v>17630</v>
      </c>
      <c r="DB11" s="216">
        <v>-15231</v>
      </c>
      <c r="DC11" s="229">
        <v>6394</v>
      </c>
      <c r="DD11" s="229">
        <v>9753</v>
      </c>
      <c r="DE11" s="151"/>
      <c r="DG11" s="229">
        <v>-14</v>
      </c>
      <c r="DH11" s="229">
        <v>255</v>
      </c>
      <c r="DI11" s="229">
        <v>1157</v>
      </c>
      <c r="DJ11" s="229">
        <v>510</v>
      </c>
      <c r="DK11" s="229">
        <v>0</v>
      </c>
      <c r="DL11" s="229">
        <v>0</v>
      </c>
      <c r="DM11" s="229">
        <v>647</v>
      </c>
      <c r="DN11" s="130">
        <v>2</v>
      </c>
      <c r="DO11" s="130">
        <v>0</v>
      </c>
      <c r="DP11" s="130">
        <v>0</v>
      </c>
      <c r="DQ11" s="130">
        <v>649</v>
      </c>
      <c r="DR11" s="130">
        <v>2127</v>
      </c>
      <c r="DS11" s="130">
        <v>1028</v>
      </c>
      <c r="DT11" s="167"/>
      <c r="DU11" s="183">
        <v>5</v>
      </c>
      <c r="DV11" s="183">
        <v>-592</v>
      </c>
      <c r="DW11" s="180">
        <v>-384</v>
      </c>
      <c r="DX11" s="130">
        <v>6394</v>
      </c>
      <c r="DY11" s="229">
        <v>5173</v>
      </c>
      <c r="DZ11" s="229">
        <v>456</v>
      </c>
      <c r="EA11" s="229">
        <v>765</v>
      </c>
      <c r="EB11" s="212">
        <v>21.25</v>
      </c>
      <c r="EC11" s="208"/>
      <c r="ED11" s="183">
        <v>162.816176470588</v>
      </c>
      <c r="EE11" s="3">
        <v>8489</v>
      </c>
      <c r="EF11" s="183">
        <v>8657</v>
      </c>
      <c r="EG11" s="130">
        <v>9033</v>
      </c>
      <c r="EH11" s="130"/>
      <c r="EI11" s="130"/>
      <c r="EJ11" s="130"/>
      <c r="EK11" s="183">
        <v>-522</v>
      </c>
      <c r="EL11" s="183">
        <v>97</v>
      </c>
      <c r="EM11" s="183">
        <v>109</v>
      </c>
      <c r="EN11" s="226">
        <v>-1632</v>
      </c>
      <c r="EO11" s="226">
        <v>480</v>
      </c>
      <c r="EP11" s="226">
        <v>214</v>
      </c>
      <c r="EQ11" s="226">
        <v>-1675</v>
      </c>
      <c r="ER11" s="230">
        <v>119</v>
      </c>
      <c r="ES11" s="230">
        <v>144</v>
      </c>
      <c r="ET11" s="3">
        <v>0</v>
      </c>
      <c r="EU11" s="211">
        <v>50</v>
      </c>
      <c r="EV11" s="183">
        <v>0</v>
      </c>
      <c r="EW11" s="183">
        <v>792</v>
      </c>
      <c r="EX11" s="130">
        <v>0</v>
      </c>
      <c r="EY11" s="183">
        <v>1442</v>
      </c>
      <c r="EZ11" s="3">
        <v>3953</v>
      </c>
      <c r="FA11" s="3">
        <v>2595</v>
      </c>
      <c r="FB11" s="3">
        <v>1358</v>
      </c>
      <c r="FC11" s="3">
        <v>1751</v>
      </c>
      <c r="FD11" s="226">
        <v>4145</v>
      </c>
      <c r="FE11" s="183">
        <v>1995</v>
      </c>
      <c r="FF11" s="183">
        <v>2150</v>
      </c>
      <c r="FG11" s="183">
        <v>1614</v>
      </c>
      <c r="FH11" s="230">
        <v>4995</v>
      </c>
      <c r="FI11" s="130">
        <v>1403</v>
      </c>
      <c r="FJ11" s="130">
        <v>3592</v>
      </c>
      <c r="FK11" s="130">
        <v>1652</v>
      </c>
      <c r="FL11" s="29">
        <v>5075.0539956803459</v>
      </c>
      <c r="FM11" s="139">
        <v>4935.2557127312293</v>
      </c>
      <c r="FN11" s="139">
        <v>5577.4336283185839</v>
      </c>
      <c r="FO11" s="172">
        <f t="shared" si="0"/>
        <v>243.43529411764706</v>
      </c>
      <c r="FP11" s="170">
        <f t="shared" si="1"/>
        <v>134.64341488807912</v>
      </c>
      <c r="FR11" s="175"/>
      <c r="FS11" s="195"/>
      <c r="FV11" s="175">
        <v>874</v>
      </c>
      <c r="FW11" s="2">
        <f t="shared" si="2"/>
        <v>-874</v>
      </c>
      <c r="FZ11" s="186"/>
      <c r="GA11" s="2"/>
      <c r="GB11" s="2"/>
    </row>
    <row r="12" spans="1:185" ht="13" x14ac:dyDescent="0.3">
      <c r="A12" s="77">
        <v>49</v>
      </c>
      <c r="B12" s="75" t="s">
        <v>10</v>
      </c>
      <c r="C12" s="179">
        <v>283632</v>
      </c>
      <c r="D12" s="138"/>
      <c r="E12" s="142">
        <v>3.2449869501559614</v>
      </c>
      <c r="F12" s="142">
        <v>54.038286452969281</v>
      </c>
      <c r="G12" s="183">
        <v>-198.77869915947423</v>
      </c>
      <c r="H12" s="144"/>
      <c r="I12" s="186"/>
      <c r="K12" s="210">
        <v>72.125280713237885</v>
      </c>
      <c r="L12" s="143">
        <v>2995.2649912562761</v>
      </c>
      <c r="M12" s="146">
        <v>143.62561683821261</v>
      </c>
      <c r="N12" s="143">
        <v>7611.9549275117051</v>
      </c>
      <c r="O12" s="138">
        <v>641447</v>
      </c>
      <c r="P12" s="143">
        <v>392012</v>
      </c>
      <c r="Q12" s="184">
        <v>1767910</v>
      </c>
      <c r="R12" s="184">
        <v>-1375898</v>
      </c>
      <c r="S12" s="139">
        <v>1501986</v>
      </c>
      <c r="T12" s="138">
        <v>43067</v>
      </c>
      <c r="U12" s="151"/>
      <c r="W12" s="183">
        <v>6717</v>
      </c>
      <c r="X12" s="183">
        <v>19657</v>
      </c>
      <c r="Y12" s="184">
        <v>195529</v>
      </c>
      <c r="Z12" s="130">
        <v>161134</v>
      </c>
      <c r="AA12" s="130">
        <v>0</v>
      </c>
      <c r="AB12" s="131">
        <v>0</v>
      </c>
      <c r="AC12" s="184">
        <v>34395</v>
      </c>
      <c r="AD12" s="184">
        <v>-1606</v>
      </c>
      <c r="AE12" s="184">
        <v>0</v>
      </c>
      <c r="AF12" s="184">
        <v>12468</v>
      </c>
      <c r="AG12" s="183">
        <v>45257</v>
      </c>
      <c r="AH12" s="183">
        <v>525559</v>
      </c>
      <c r="AI12" s="183">
        <v>133450</v>
      </c>
      <c r="AJ12" s="167"/>
      <c r="AK12" s="183">
        <v>-5982</v>
      </c>
      <c r="AL12" s="183">
        <v>-54463</v>
      </c>
      <c r="AM12" s="180">
        <v>-72387</v>
      </c>
      <c r="AN12" s="139">
        <v>1501986</v>
      </c>
      <c r="AO12" s="138">
        <v>1259684</v>
      </c>
      <c r="AP12" s="184">
        <v>125298</v>
      </c>
      <c r="AQ12" s="138">
        <v>117004</v>
      </c>
      <c r="AR12" s="109">
        <v>18</v>
      </c>
      <c r="AS12" s="144"/>
      <c r="AT12" s="139">
        <v>14</v>
      </c>
      <c r="AU12" s="228">
        <v>289731</v>
      </c>
      <c r="AV12" s="138"/>
      <c r="AW12" s="224">
        <v>1.2679828897455558</v>
      </c>
      <c r="AX12" s="225">
        <v>62.609942523908373</v>
      </c>
      <c r="AY12" s="139">
        <v>-612.43360220342322</v>
      </c>
      <c r="AZ12" s="144"/>
      <c r="BA12"/>
      <c r="BC12" s="189">
        <v>68.239032484472602</v>
      </c>
      <c r="BD12" s="183">
        <v>3083.7259388881412</v>
      </c>
      <c r="BE12" s="140">
        <v>140.18050340554214</v>
      </c>
      <c r="BF12" s="139">
        <v>8029.3617182835114</v>
      </c>
      <c r="BG12" s="184">
        <v>672439</v>
      </c>
      <c r="BH12" s="216">
        <v>418078</v>
      </c>
      <c r="BI12" s="216">
        <v>1886234</v>
      </c>
      <c r="BJ12" s="216">
        <v>-1455718</v>
      </c>
      <c r="BK12" s="216">
        <v>1521184</v>
      </c>
      <c r="BL12" s="216">
        <v>60874</v>
      </c>
      <c r="BM12" s="151"/>
      <c r="BO12" s="216">
        <v>6894</v>
      </c>
      <c r="BP12" s="216">
        <v>38178</v>
      </c>
      <c r="BQ12" s="216">
        <v>171412</v>
      </c>
      <c r="BR12" s="216">
        <v>178942</v>
      </c>
      <c r="BS12" s="216">
        <v>0</v>
      </c>
      <c r="BT12" s="216">
        <v>0</v>
      </c>
      <c r="BU12" s="216">
        <v>-7530</v>
      </c>
      <c r="BV12" s="184">
        <v>-2232</v>
      </c>
      <c r="BW12" s="184">
        <v>0</v>
      </c>
      <c r="BX12" s="184">
        <v>15025</v>
      </c>
      <c r="BY12" s="183">
        <v>5263</v>
      </c>
      <c r="BZ12" s="183">
        <v>511808</v>
      </c>
      <c r="CA12" s="183">
        <v>85823</v>
      </c>
      <c r="CB12" s="167"/>
      <c r="CC12" s="183">
        <v>-46854</v>
      </c>
      <c r="CD12" s="183">
        <v>-57850</v>
      </c>
      <c r="CE12" s="180">
        <v>-115870</v>
      </c>
      <c r="CF12" s="139">
        <v>1521184</v>
      </c>
      <c r="CG12" s="216">
        <v>1272287</v>
      </c>
      <c r="CH12" s="216">
        <v>128604</v>
      </c>
      <c r="CI12" s="216">
        <v>120293</v>
      </c>
      <c r="CJ12" s="212">
        <v>18</v>
      </c>
      <c r="CK12" s="144"/>
      <c r="CL12" s="130">
        <v>16</v>
      </c>
      <c r="CM12" s="228">
        <v>292796</v>
      </c>
      <c r="CN12" s="138"/>
      <c r="CO12" s="142">
        <v>4.0479422010063217</v>
      </c>
      <c r="CP12" s="142">
        <v>70.48585348935822</v>
      </c>
      <c r="CQ12" s="183">
        <v>-741.89879643164522</v>
      </c>
      <c r="CR12" s="144"/>
      <c r="CS12"/>
      <c r="CU12" s="232">
        <v>64.445278282607518</v>
      </c>
      <c r="CV12" s="143">
        <v>3875.7223459336874</v>
      </c>
      <c r="CW12" s="146">
        <v>167.76363908101936</v>
      </c>
      <c r="CX12" s="143">
        <v>8432.3317258432489</v>
      </c>
      <c r="CY12" s="131">
        <v>687990</v>
      </c>
      <c r="CZ12" s="229">
        <v>416164</v>
      </c>
      <c r="DA12" s="229">
        <v>1942554</v>
      </c>
      <c r="DB12" s="216">
        <v>-1526390</v>
      </c>
      <c r="DC12" s="229">
        <v>1605340</v>
      </c>
      <c r="DD12" s="229">
        <v>205087</v>
      </c>
      <c r="DE12" s="151"/>
      <c r="DG12" s="229">
        <v>6090</v>
      </c>
      <c r="DH12" s="229">
        <v>14289</v>
      </c>
      <c r="DI12" s="229">
        <v>304416</v>
      </c>
      <c r="DJ12" s="229">
        <v>175319</v>
      </c>
      <c r="DK12" s="229">
        <v>0</v>
      </c>
      <c r="DL12" s="229">
        <v>0</v>
      </c>
      <c r="DM12" s="229">
        <v>129097</v>
      </c>
      <c r="DN12" s="131">
        <v>-1232</v>
      </c>
      <c r="DO12" s="131">
        <v>0</v>
      </c>
      <c r="DP12" s="131">
        <v>15019</v>
      </c>
      <c r="DQ12" s="130">
        <v>142884</v>
      </c>
      <c r="DR12" s="130">
        <v>637571</v>
      </c>
      <c r="DS12" s="130">
        <v>235436</v>
      </c>
      <c r="DT12" s="167"/>
      <c r="DU12" s="183">
        <v>-27450</v>
      </c>
      <c r="DV12" s="183">
        <v>-68170</v>
      </c>
      <c r="DW12" s="180">
        <v>-35607</v>
      </c>
      <c r="DX12" s="130">
        <v>1605340</v>
      </c>
      <c r="DY12" s="229">
        <v>1356824</v>
      </c>
      <c r="DZ12" s="229">
        <v>136178</v>
      </c>
      <c r="EA12" s="229">
        <v>112338</v>
      </c>
      <c r="EB12" s="212">
        <v>18</v>
      </c>
      <c r="EC12" s="208"/>
      <c r="ED12" s="183">
        <v>26.823529411764699</v>
      </c>
      <c r="EE12" s="3">
        <v>819880</v>
      </c>
      <c r="EF12" s="183">
        <v>881701</v>
      </c>
      <c r="EG12" s="130">
        <v>918495</v>
      </c>
      <c r="EH12" s="130"/>
      <c r="EI12" s="130"/>
      <c r="EJ12" s="130"/>
      <c r="EK12" s="183">
        <v>-306855</v>
      </c>
      <c r="EL12" s="183">
        <v>36316</v>
      </c>
      <c r="EM12" s="183">
        <v>64702</v>
      </c>
      <c r="EN12" s="226">
        <v>-351520</v>
      </c>
      <c r="EO12" s="226">
        <v>57414</v>
      </c>
      <c r="EP12" s="226">
        <v>92413</v>
      </c>
      <c r="EQ12" s="226">
        <v>-424525</v>
      </c>
      <c r="ER12" s="230">
        <v>82341</v>
      </c>
      <c r="ES12" s="230">
        <v>71141</v>
      </c>
      <c r="ET12" s="3">
        <v>100000</v>
      </c>
      <c r="EU12" s="211">
        <v>-52872</v>
      </c>
      <c r="EV12" s="183">
        <v>220000</v>
      </c>
      <c r="EW12" s="183">
        <v>28508</v>
      </c>
      <c r="EX12" s="130">
        <v>285000</v>
      </c>
      <c r="EY12" s="183">
        <v>34749</v>
      </c>
      <c r="EZ12" s="3">
        <v>798266</v>
      </c>
      <c r="FA12" s="3">
        <v>674452</v>
      </c>
      <c r="FB12" s="3">
        <v>123814</v>
      </c>
      <c r="FC12" s="3">
        <v>308687</v>
      </c>
      <c r="FD12" s="226">
        <v>988922</v>
      </c>
      <c r="FE12" s="183">
        <v>829753</v>
      </c>
      <c r="FF12" s="183">
        <v>159169</v>
      </c>
      <c r="FG12" s="183">
        <v>337799</v>
      </c>
      <c r="FH12" s="230">
        <v>1240501</v>
      </c>
      <c r="FI12" s="130">
        <v>1038677</v>
      </c>
      <c r="FJ12" s="130">
        <v>201824</v>
      </c>
      <c r="FK12" s="130">
        <v>359897</v>
      </c>
      <c r="FL12" s="29">
        <v>12349.209539121113</v>
      </c>
      <c r="FM12" s="139">
        <v>13125.067735244071</v>
      </c>
      <c r="FN12" s="139">
        <v>14637.843413161383</v>
      </c>
      <c r="FO12" s="172">
        <f t="shared" si="0"/>
        <v>75379.111111111109</v>
      </c>
      <c r="FP12" s="170">
        <f t="shared" si="1"/>
        <v>257.44583638817164</v>
      </c>
      <c r="FR12" s="175"/>
      <c r="FS12" s="195"/>
      <c r="FV12" s="175">
        <v>55179</v>
      </c>
      <c r="FW12" s="2">
        <f t="shared" si="2"/>
        <v>-55179</v>
      </c>
      <c r="FZ12" s="186"/>
      <c r="GA12" s="2"/>
      <c r="GB12" s="2"/>
    </row>
    <row r="13" spans="1:185" ht="13" x14ac:dyDescent="0.3">
      <c r="A13" s="77">
        <v>50</v>
      </c>
      <c r="B13" s="75" t="s">
        <v>11</v>
      </c>
      <c r="C13" s="179">
        <v>11748</v>
      </c>
      <c r="D13" s="138"/>
      <c r="E13" s="142">
        <v>-0.23776662484316186</v>
      </c>
      <c r="F13" s="142">
        <v>56.974627154754991</v>
      </c>
      <c r="G13" s="183">
        <v>-3319.7991147429348</v>
      </c>
      <c r="H13" s="144"/>
      <c r="I13" s="186"/>
      <c r="K13" s="210">
        <v>43.377877999718123</v>
      </c>
      <c r="L13" s="143">
        <v>184.79741232550219</v>
      </c>
      <c r="M13" s="146">
        <v>9.4616716417910443</v>
      </c>
      <c r="N13" s="143">
        <v>7128.8729996595166</v>
      </c>
      <c r="O13" s="138">
        <v>35905</v>
      </c>
      <c r="P13" s="143">
        <v>10999</v>
      </c>
      <c r="Q13" s="184">
        <v>77829</v>
      </c>
      <c r="R13" s="184">
        <v>-66830</v>
      </c>
      <c r="S13" s="139">
        <v>43565</v>
      </c>
      <c r="T13" s="138">
        <v>22881</v>
      </c>
      <c r="U13" s="151"/>
      <c r="W13" s="183">
        <v>-11</v>
      </c>
      <c r="X13" s="183">
        <v>-19</v>
      </c>
      <c r="Y13" s="184">
        <v>-414</v>
      </c>
      <c r="Z13" s="130">
        <v>3515</v>
      </c>
      <c r="AA13" s="130">
        <v>0</v>
      </c>
      <c r="AB13" s="130">
        <v>0</v>
      </c>
      <c r="AC13" s="184">
        <v>-3929</v>
      </c>
      <c r="AD13" s="183">
        <v>23</v>
      </c>
      <c r="AE13" s="183">
        <v>0</v>
      </c>
      <c r="AF13" s="183">
        <v>0</v>
      </c>
      <c r="AG13" s="183">
        <v>-3906</v>
      </c>
      <c r="AH13" s="183">
        <v>3931</v>
      </c>
      <c r="AI13" s="183">
        <v>-790</v>
      </c>
      <c r="AJ13" s="167"/>
      <c r="AK13" s="183">
        <v>879</v>
      </c>
      <c r="AL13" s="183">
        <v>-1559</v>
      </c>
      <c r="AM13" s="180">
        <v>-4362</v>
      </c>
      <c r="AN13" s="139">
        <v>43565</v>
      </c>
      <c r="AO13" s="138">
        <v>38473</v>
      </c>
      <c r="AP13" s="184">
        <v>1964</v>
      </c>
      <c r="AQ13" s="138">
        <v>3128</v>
      </c>
      <c r="AR13" s="109">
        <v>20.5</v>
      </c>
      <c r="AS13" s="144"/>
      <c r="AT13" s="139">
        <v>263</v>
      </c>
      <c r="AU13" s="228">
        <v>11632</v>
      </c>
      <c r="AV13" s="138"/>
      <c r="AW13" s="224">
        <v>-8.052813909405844E-2</v>
      </c>
      <c r="AX13" s="225">
        <v>68.531737386423345</v>
      </c>
      <c r="AY13" s="139">
        <v>-4063.961485557084</v>
      </c>
      <c r="AZ13" s="144"/>
      <c r="BA13"/>
      <c r="BC13" s="189">
        <v>35.611809271841743</v>
      </c>
      <c r="BD13" s="183">
        <v>175.37826685006877</v>
      </c>
      <c r="BE13" s="140">
        <v>8.4635757072871325</v>
      </c>
      <c r="BF13" s="139">
        <v>7563.3596973865197</v>
      </c>
      <c r="BG13" s="184">
        <v>35650</v>
      </c>
      <c r="BH13" s="216">
        <v>10626</v>
      </c>
      <c r="BI13" s="216">
        <v>78529</v>
      </c>
      <c r="BJ13" s="216">
        <v>-67900</v>
      </c>
      <c r="BK13" s="216">
        <v>43287</v>
      </c>
      <c r="BL13" s="216">
        <v>24118</v>
      </c>
      <c r="BM13" s="151"/>
      <c r="BO13" s="216">
        <v>-38</v>
      </c>
      <c r="BP13" s="216">
        <v>10</v>
      </c>
      <c r="BQ13" s="216">
        <v>-523</v>
      </c>
      <c r="BR13" s="216">
        <v>3726</v>
      </c>
      <c r="BS13" s="216">
        <v>0</v>
      </c>
      <c r="BT13" s="216">
        <v>0</v>
      </c>
      <c r="BU13" s="216">
        <v>-4249</v>
      </c>
      <c r="BV13" s="183">
        <v>21</v>
      </c>
      <c r="BW13" s="183">
        <v>0</v>
      </c>
      <c r="BX13" s="183">
        <v>0</v>
      </c>
      <c r="BY13" s="183">
        <v>-4228</v>
      </c>
      <c r="BZ13" s="183">
        <v>-290</v>
      </c>
      <c r="CA13" s="183">
        <v>-627</v>
      </c>
      <c r="CB13" s="167"/>
      <c r="CC13" s="183">
        <v>-1212</v>
      </c>
      <c r="CD13" s="183">
        <v>-1279</v>
      </c>
      <c r="CE13" s="180">
        <v>-8289</v>
      </c>
      <c r="CF13" s="139">
        <v>43287</v>
      </c>
      <c r="CG13" s="216">
        <v>38036</v>
      </c>
      <c r="CH13" s="216">
        <v>2057</v>
      </c>
      <c r="CI13" s="216">
        <v>3194</v>
      </c>
      <c r="CJ13" s="212">
        <v>20.5</v>
      </c>
      <c r="CK13" s="144"/>
      <c r="CL13" s="130">
        <v>244</v>
      </c>
      <c r="CM13" s="228">
        <v>11483</v>
      </c>
      <c r="CN13" s="138"/>
      <c r="CO13" s="142">
        <v>5.6436058700209646</v>
      </c>
      <c r="CP13" s="142">
        <v>61.102116476606128</v>
      </c>
      <c r="CQ13" s="183">
        <v>-3832.6221370721937</v>
      </c>
      <c r="CR13" s="144"/>
      <c r="CS13"/>
      <c r="CU13" s="232">
        <v>38.998562361934148</v>
      </c>
      <c r="CV13" s="143">
        <v>295.91570147174082</v>
      </c>
      <c r="CW13" s="146">
        <v>14.746159699434061</v>
      </c>
      <c r="CX13" s="143">
        <v>7324.5667508490815</v>
      </c>
      <c r="CY13" s="131">
        <v>34910</v>
      </c>
      <c r="CZ13" s="229">
        <v>10855</v>
      </c>
      <c r="DA13" s="229">
        <v>77313</v>
      </c>
      <c r="DB13" s="216">
        <v>-66458</v>
      </c>
      <c r="DC13" s="229">
        <v>45835</v>
      </c>
      <c r="DD13" s="229">
        <v>28546</v>
      </c>
      <c r="DE13" s="151"/>
      <c r="DG13" s="229">
        <v>-129</v>
      </c>
      <c r="DH13" s="229">
        <v>132</v>
      </c>
      <c r="DI13" s="229">
        <v>7926</v>
      </c>
      <c r="DJ13" s="229">
        <v>4174</v>
      </c>
      <c r="DK13" s="229">
        <v>0</v>
      </c>
      <c r="DL13" s="229">
        <v>0</v>
      </c>
      <c r="DM13" s="229">
        <v>3752</v>
      </c>
      <c r="DN13" s="130">
        <v>20</v>
      </c>
      <c r="DO13" s="130">
        <v>0</v>
      </c>
      <c r="DP13" s="130">
        <v>0</v>
      </c>
      <c r="DQ13" s="130">
        <v>3772</v>
      </c>
      <c r="DR13" s="130">
        <v>3482</v>
      </c>
      <c r="DS13" s="130">
        <v>7993</v>
      </c>
      <c r="DT13" s="167"/>
      <c r="DU13" s="183">
        <v>-511</v>
      </c>
      <c r="DV13" s="183">
        <v>-1281</v>
      </c>
      <c r="DW13" s="180">
        <v>2931</v>
      </c>
      <c r="DX13" s="130">
        <v>45835</v>
      </c>
      <c r="DY13" s="229">
        <v>40534</v>
      </c>
      <c r="DZ13" s="229">
        <v>2487</v>
      </c>
      <c r="EA13" s="229">
        <v>2814</v>
      </c>
      <c r="EB13" s="212">
        <v>21</v>
      </c>
      <c r="EC13" s="208"/>
      <c r="ED13" s="183">
        <v>138.63970588235199</v>
      </c>
      <c r="EE13" s="3">
        <v>29661</v>
      </c>
      <c r="EF13" s="183">
        <v>30278</v>
      </c>
      <c r="EG13" s="130">
        <v>29917</v>
      </c>
      <c r="EH13" s="130"/>
      <c r="EI13" s="130">
        <v>900</v>
      </c>
      <c r="EJ13" s="130"/>
      <c r="EK13" s="183">
        <v>-4158</v>
      </c>
      <c r="EL13" s="183">
        <v>75</v>
      </c>
      <c r="EM13" s="183">
        <v>511</v>
      </c>
      <c r="EN13" s="226">
        <v>-7966</v>
      </c>
      <c r="EO13" s="226">
        <v>7</v>
      </c>
      <c r="EP13" s="226">
        <v>297</v>
      </c>
      <c r="EQ13" s="226">
        <v>-5340</v>
      </c>
      <c r="ER13" s="230">
        <v>13</v>
      </c>
      <c r="ES13" s="230">
        <v>265</v>
      </c>
      <c r="ET13" s="3">
        <v>0</v>
      </c>
      <c r="EU13" s="211">
        <v>4000</v>
      </c>
      <c r="EV13" s="183">
        <v>5080</v>
      </c>
      <c r="EW13" s="183">
        <v>6000</v>
      </c>
      <c r="EX13" s="130">
        <v>0</v>
      </c>
      <c r="EY13" s="183">
        <v>0</v>
      </c>
      <c r="EZ13" s="3">
        <v>31082</v>
      </c>
      <c r="FA13" s="3">
        <v>11828</v>
      </c>
      <c r="FB13" s="3">
        <v>19254</v>
      </c>
      <c r="FC13" s="3">
        <v>3023</v>
      </c>
      <c r="FD13" s="226">
        <v>40882</v>
      </c>
      <c r="FE13" s="183">
        <v>15601</v>
      </c>
      <c r="FF13" s="183">
        <v>25281</v>
      </c>
      <c r="FG13" s="183">
        <v>2942</v>
      </c>
      <c r="FH13" s="230">
        <v>39601</v>
      </c>
      <c r="FI13" s="130">
        <v>14317</v>
      </c>
      <c r="FJ13" s="130">
        <v>25284</v>
      </c>
      <c r="FK13" s="130">
        <v>2789</v>
      </c>
      <c r="FL13" s="29">
        <v>4619.1692202928152</v>
      </c>
      <c r="FM13" s="139">
        <v>5432.6856946354883</v>
      </c>
      <c r="FN13" s="139">
        <v>5253.5051815727602</v>
      </c>
      <c r="FO13" s="172">
        <f t="shared" si="0"/>
        <v>1930.1904761904761</v>
      </c>
      <c r="FP13" s="170">
        <f t="shared" si="1"/>
        <v>168.09113264743326</v>
      </c>
      <c r="FR13" s="175"/>
      <c r="FS13" s="195"/>
      <c r="FV13" s="175">
        <v>818</v>
      </c>
      <c r="FW13" s="2">
        <f t="shared" si="2"/>
        <v>-818</v>
      </c>
      <c r="FZ13" s="186"/>
      <c r="GA13" s="2"/>
      <c r="GB13" s="2"/>
    </row>
    <row r="14" spans="1:185" ht="13" x14ac:dyDescent="0.3">
      <c r="A14" s="77">
        <v>51</v>
      </c>
      <c r="B14" s="75" t="s">
        <v>12</v>
      </c>
      <c r="C14" s="179">
        <v>9454</v>
      </c>
      <c r="D14" s="138"/>
      <c r="E14" s="142">
        <v>3.4361702127659575</v>
      </c>
      <c r="F14" s="142">
        <v>34.307619956962277</v>
      </c>
      <c r="G14" s="183">
        <v>259.25534165432623</v>
      </c>
      <c r="H14" s="144"/>
      <c r="I14" s="186"/>
      <c r="K14" s="210">
        <v>79.677470120016892</v>
      </c>
      <c r="L14" s="143">
        <v>2576.581341231225</v>
      </c>
      <c r="M14" s="146">
        <v>124.06210755448888</v>
      </c>
      <c r="N14" s="143">
        <v>7580.4950285593395</v>
      </c>
      <c r="O14" s="138">
        <v>26361</v>
      </c>
      <c r="P14" s="143">
        <v>8094</v>
      </c>
      <c r="Q14" s="184">
        <v>64344</v>
      </c>
      <c r="R14" s="184">
        <v>-56250</v>
      </c>
      <c r="S14" s="139">
        <v>50340</v>
      </c>
      <c r="T14" s="138">
        <v>11737</v>
      </c>
      <c r="U14" s="151"/>
      <c r="W14" s="183">
        <v>-51</v>
      </c>
      <c r="X14" s="183">
        <v>-724</v>
      </c>
      <c r="Y14" s="184">
        <v>5052</v>
      </c>
      <c r="Z14" s="130">
        <v>5212</v>
      </c>
      <c r="AA14" s="130">
        <v>0</v>
      </c>
      <c r="AB14" s="131">
        <v>0</v>
      </c>
      <c r="AC14" s="184">
        <v>-160</v>
      </c>
      <c r="AD14" s="184">
        <v>3</v>
      </c>
      <c r="AE14" s="183">
        <v>0</v>
      </c>
      <c r="AF14" s="183">
        <v>0</v>
      </c>
      <c r="AG14" s="183">
        <v>-157</v>
      </c>
      <c r="AH14" s="183">
        <v>75565</v>
      </c>
      <c r="AI14" s="183">
        <v>5052</v>
      </c>
      <c r="AJ14" s="167"/>
      <c r="AK14" s="183">
        <v>1048</v>
      </c>
      <c r="AL14" s="183">
        <v>-1388</v>
      </c>
      <c r="AM14" s="180">
        <v>2484</v>
      </c>
      <c r="AN14" s="139">
        <v>50340</v>
      </c>
      <c r="AO14" s="138">
        <v>28914</v>
      </c>
      <c r="AP14" s="184">
        <v>2214</v>
      </c>
      <c r="AQ14" s="138">
        <v>19212</v>
      </c>
      <c r="AR14" s="109">
        <v>18</v>
      </c>
      <c r="AS14" s="144"/>
      <c r="AT14" s="139">
        <v>38</v>
      </c>
      <c r="AU14" s="228">
        <v>9402</v>
      </c>
      <c r="AV14" s="138"/>
      <c r="AW14" s="224">
        <v>1.5512273827359686</v>
      </c>
      <c r="AX14" s="225">
        <v>31.894142633579253</v>
      </c>
      <c r="AY14" s="139">
        <v>562.32716443309937</v>
      </c>
      <c r="AZ14" s="144"/>
      <c r="BA14"/>
      <c r="BC14" s="189">
        <v>80.063240168527415</v>
      </c>
      <c r="BD14" s="183">
        <v>2437.0346734737291</v>
      </c>
      <c r="BE14" s="140">
        <v>110.42774146695716</v>
      </c>
      <c r="BF14" s="139">
        <v>8055.2010210593489</v>
      </c>
      <c r="BG14" s="184">
        <v>27266</v>
      </c>
      <c r="BH14" s="216">
        <v>8388</v>
      </c>
      <c r="BI14" s="216">
        <v>70036</v>
      </c>
      <c r="BJ14" s="216">
        <v>-61648</v>
      </c>
      <c r="BK14" s="216">
        <v>52060</v>
      </c>
      <c r="BL14" s="216">
        <v>11120</v>
      </c>
      <c r="BM14" s="151"/>
      <c r="BO14" s="216">
        <v>28</v>
      </c>
      <c r="BP14" s="216">
        <v>1770</v>
      </c>
      <c r="BQ14" s="216">
        <v>3330</v>
      </c>
      <c r="BR14" s="216">
        <v>4915</v>
      </c>
      <c r="BS14" s="216">
        <v>0</v>
      </c>
      <c r="BT14" s="216">
        <v>0</v>
      </c>
      <c r="BU14" s="216">
        <v>-1585</v>
      </c>
      <c r="BV14" s="184">
        <v>3</v>
      </c>
      <c r="BW14" s="183">
        <v>-112</v>
      </c>
      <c r="BX14" s="183">
        <v>0</v>
      </c>
      <c r="BY14" s="183">
        <v>-1694</v>
      </c>
      <c r="BZ14" s="183">
        <v>73816</v>
      </c>
      <c r="CA14" s="183">
        <v>3330</v>
      </c>
      <c r="CB14" s="167"/>
      <c r="CC14" s="183">
        <v>-3037</v>
      </c>
      <c r="CD14" s="183">
        <v>-1088</v>
      </c>
      <c r="CE14" s="180">
        <v>-773</v>
      </c>
      <c r="CF14" s="139">
        <v>52060</v>
      </c>
      <c r="CG14" s="216">
        <v>28952</v>
      </c>
      <c r="CH14" s="216">
        <v>2581</v>
      </c>
      <c r="CI14" s="216">
        <v>20527</v>
      </c>
      <c r="CJ14" s="212">
        <v>18</v>
      </c>
      <c r="CK14" s="144"/>
      <c r="CL14" s="130">
        <v>71</v>
      </c>
      <c r="CM14" s="228">
        <v>9452</v>
      </c>
      <c r="CN14" s="138"/>
      <c r="CO14" s="142">
        <v>2.2490073737946683</v>
      </c>
      <c r="CP14" s="142">
        <v>30.311649935792104</v>
      </c>
      <c r="CQ14" s="183">
        <v>552.15827338129498</v>
      </c>
      <c r="CR14" s="144"/>
      <c r="CS14"/>
      <c r="CU14" s="232">
        <v>80.760275272081273</v>
      </c>
      <c r="CV14" s="143">
        <v>2492.065171392298</v>
      </c>
      <c r="CW14" s="146">
        <v>109.45492622439497</v>
      </c>
      <c r="CX14" s="143">
        <v>8310.3046974185363</v>
      </c>
      <c r="CY14" s="131">
        <v>27445</v>
      </c>
      <c r="CZ14" s="229">
        <v>7086</v>
      </c>
      <c r="DA14" s="229">
        <v>69110</v>
      </c>
      <c r="DB14" s="216">
        <v>-62024</v>
      </c>
      <c r="DC14" s="229">
        <v>51185</v>
      </c>
      <c r="DD14" s="229">
        <v>14150</v>
      </c>
      <c r="DE14" s="151"/>
      <c r="DG14" s="229">
        <v>-63</v>
      </c>
      <c r="DH14" s="229">
        <v>610</v>
      </c>
      <c r="DI14" s="229">
        <v>3858</v>
      </c>
      <c r="DJ14" s="229">
        <v>4715</v>
      </c>
      <c r="DK14" s="229">
        <v>0</v>
      </c>
      <c r="DL14" s="229">
        <v>0</v>
      </c>
      <c r="DM14" s="229">
        <v>-857</v>
      </c>
      <c r="DN14" s="131">
        <v>3</v>
      </c>
      <c r="DO14" s="130">
        <v>166</v>
      </c>
      <c r="DP14" s="130">
        <v>0</v>
      </c>
      <c r="DQ14" s="130">
        <v>-688</v>
      </c>
      <c r="DR14" s="130">
        <v>73022</v>
      </c>
      <c r="DS14" s="130">
        <v>3771</v>
      </c>
      <c r="DT14" s="167"/>
      <c r="DU14" s="183">
        <v>1586</v>
      </c>
      <c r="DV14" s="183">
        <v>-1656</v>
      </c>
      <c r="DW14" s="180">
        <v>180</v>
      </c>
      <c r="DX14" s="130">
        <v>51185</v>
      </c>
      <c r="DY14" s="229">
        <v>28776</v>
      </c>
      <c r="DZ14" s="229">
        <v>2667</v>
      </c>
      <c r="EA14" s="229">
        <v>19742</v>
      </c>
      <c r="EB14" s="212">
        <v>18</v>
      </c>
      <c r="EC14" s="208"/>
      <c r="ED14" s="183">
        <v>255.492647058823</v>
      </c>
      <c r="EE14" s="3">
        <v>31318</v>
      </c>
      <c r="EF14" s="183">
        <v>35296</v>
      </c>
      <c r="EG14" s="130">
        <v>34270</v>
      </c>
      <c r="EH14" s="130"/>
      <c r="EI14" s="130"/>
      <c r="EJ14" s="130"/>
      <c r="EK14" s="183">
        <v>-4044</v>
      </c>
      <c r="EL14" s="183">
        <v>16</v>
      </c>
      <c r="EM14" s="183">
        <v>1460</v>
      </c>
      <c r="EN14" s="226">
        <v>-4201</v>
      </c>
      <c r="EO14" s="226">
        <v>24</v>
      </c>
      <c r="EP14" s="226">
        <v>74</v>
      </c>
      <c r="EQ14" s="226">
        <v>-7380</v>
      </c>
      <c r="ER14" s="230">
        <v>0</v>
      </c>
      <c r="ES14" s="230">
        <v>3789</v>
      </c>
      <c r="ET14" s="3">
        <v>0</v>
      </c>
      <c r="EU14" s="211">
        <v>-425</v>
      </c>
      <c r="EV14" s="183">
        <v>0</v>
      </c>
      <c r="EW14" s="183">
        <v>-442</v>
      </c>
      <c r="EX14" s="130">
        <v>0</v>
      </c>
      <c r="EY14" s="183">
        <v>0</v>
      </c>
      <c r="EZ14" s="3">
        <v>13642</v>
      </c>
      <c r="FA14" s="3">
        <v>12023</v>
      </c>
      <c r="FB14" s="3">
        <v>1619</v>
      </c>
      <c r="FC14" s="3">
        <v>3622</v>
      </c>
      <c r="FD14" s="226">
        <v>12112</v>
      </c>
      <c r="FE14" s="183">
        <v>10456</v>
      </c>
      <c r="FF14" s="183">
        <v>1656</v>
      </c>
      <c r="FG14" s="183">
        <v>105</v>
      </c>
      <c r="FH14" s="230">
        <v>10455</v>
      </c>
      <c r="FI14" s="130">
        <v>8866</v>
      </c>
      <c r="FJ14" s="130">
        <v>1589</v>
      </c>
      <c r="FK14" s="130">
        <v>0</v>
      </c>
      <c r="FL14" s="29">
        <v>1704.1463930611383</v>
      </c>
      <c r="FM14" s="139">
        <v>1570.7296319931929</v>
      </c>
      <c r="FN14" s="139">
        <v>1696.3605586119338</v>
      </c>
      <c r="FO14" s="172">
        <f t="shared" si="0"/>
        <v>1598.6666666666667</v>
      </c>
      <c r="FP14" s="170">
        <f t="shared" si="1"/>
        <v>169.13528001128512</v>
      </c>
      <c r="FR14" s="175"/>
      <c r="FS14" s="195"/>
      <c r="FV14" s="175">
        <v>701</v>
      </c>
      <c r="FW14" s="2">
        <f t="shared" si="2"/>
        <v>-701</v>
      </c>
      <c r="FZ14" s="186"/>
      <c r="GA14" s="2"/>
      <c r="GB14" s="2"/>
    </row>
    <row r="15" spans="1:185" ht="13" x14ac:dyDescent="0.3">
      <c r="A15" s="77">
        <v>52</v>
      </c>
      <c r="B15" s="75" t="s">
        <v>13</v>
      </c>
      <c r="C15" s="179">
        <v>2473</v>
      </c>
      <c r="D15" s="138"/>
      <c r="E15" s="142" t="e">
        <v>#DIV/0!</v>
      </c>
      <c r="F15" s="142">
        <v>36.481064145550484</v>
      </c>
      <c r="G15" s="183">
        <v>-57.015770319450063</v>
      </c>
      <c r="H15" s="144"/>
      <c r="I15" s="186"/>
      <c r="K15" s="210">
        <v>65.704264728307834</v>
      </c>
      <c r="L15" s="143">
        <v>2420.9462191670036</v>
      </c>
      <c r="M15" s="146">
        <v>110.90975993503527</v>
      </c>
      <c r="N15" s="143">
        <v>7967.2462596037203</v>
      </c>
      <c r="O15" s="138">
        <v>4036</v>
      </c>
      <c r="P15" s="143">
        <v>1829</v>
      </c>
      <c r="Q15" s="184">
        <v>18407</v>
      </c>
      <c r="R15" s="184">
        <v>-16578</v>
      </c>
      <c r="S15" s="139">
        <v>7975</v>
      </c>
      <c r="T15" s="138">
        <v>8389</v>
      </c>
      <c r="U15" s="151"/>
      <c r="W15" s="183">
        <v>51</v>
      </c>
      <c r="X15" s="183">
        <v>-293</v>
      </c>
      <c r="Y15" s="184">
        <v>-456</v>
      </c>
      <c r="Z15" s="130">
        <v>514</v>
      </c>
      <c r="AA15" s="130">
        <v>0</v>
      </c>
      <c r="AB15" s="130">
        <v>0</v>
      </c>
      <c r="AC15" s="184">
        <v>-970</v>
      </c>
      <c r="AD15" s="183">
        <v>0</v>
      </c>
      <c r="AE15" s="183">
        <v>0</v>
      </c>
      <c r="AF15" s="183">
        <v>0</v>
      </c>
      <c r="AG15" s="183">
        <v>-970</v>
      </c>
      <c r="AH15" s="183">
        <v>4177</v>
      </c>
      <c r="AI15" s="183">
        <v>-521</v>
      </c>
      <c r="AJ15" s="167"/>
      <c r="AK15" s="183">
        <v>78</v>
      </c>
      <c r="AL15" s="183">
        <v>0</v>
      </c>
      <c r="AM15" s="180">
        <v>-1308</v>
      </c>
      <c r="AN15" s="139">
        <v>7975</v>
      </c>
      <c r="AO15" s="138">
        <v>6586</v>
      </c>
      <c r="AP15" s="184">
        <v>639</v>
      </c>
      <c r="AQ15" s="138">
        <v>750</v>
      </c>
      <c r="AR15" s="109">
        <v>21.5</v>
      </c>
      <c r="AS15" s="144"/>
      <c r="AT15" s="139">
        <v>284</v>
      </c>
      <c r="AU15" s="228">
        <v>2425</v>
      </c>
      <c r="AV15" s="138"/>
      <c r="AW15" s="224">
        <v>-0.25462690086054462</v>
      </c>
      <c r="AX15" s="225">
        <v>48.008149697067182</v>
      </c>
      <c r="AY15" s="139">
        <v>-688.65979381443299</v>
      </c>
      <c r="AZ15" s="144"/>
      <c r="BA15"/>
      <c r="BC15" s="189">
        <v>57.20260443895252</v>
      </c>
      <c r="BD15" s="183">
        <v>2752.5773195876291</v>
      </c>
      <c r="BE15" s="140">
        <v>115.85786295116269</v>
      </c>
      <c r="BF15" s="139">
        <v>8671.7525773195885</v>
      </c>
      <c r="BG15" s="184">
        <v>4135</v>
      </c>
      <c r="BH15" s="216">
        <v>1744</v>
      </c>
      <c r="BI15" s="216">
        <v>19558</v>
      </c>
      <c r="BJ15" s="216">
        <v>-17814</v>
      </c>
      <c r="BK15" s="216">
        <v>8047</v>
      </c>
      <c r="BL15" s="216">
        <v>8860</v>
      </c>
      <c r="BM15" s="151"/>
      <c r="BO15" s="216">
        <v>58</v>
      </c>
      <c r="BP15" s="216">
        <v>579</v>
      </c>
      <c r="BQ15" s="216">
        <v>-270</v>
      </c>
      <c r="BR15" s="216">
        <v>619</v>
      </c>
      <c r="BS15" s="216">
        <v>0</v>
      </c>
      <c r="BT15" s="216">
        <v>0</v>
      </c>
      <c r="BU15" s="216">
        <v>-889</v>
      </c>
      <c r="BV15" s="183">
        <v>0</v>
      </c>
      <c r="BW15" s="183">
        <v>0</v>
      </c>
      <c r="BX15" s="183">
        <v>0</v>
      </c>
      <c r="BY15" s="183">
        <v>-889</v>
      </c>
      <c r="BZ15" s="183">
        <v>3287</v>
      </c>
      <c r="CA15" s="183">
        <v>-275</v>
      </c>
      <c r="CB15" s="167"/>
      <c r="CC15" s="183">
        <v>-101</v>
      </c>
      <c r="CD15" s="183">
        <v>0</v>
      </c>
      <c r="CE15" s="180">
        <v>-1492</v>
      </c>
      <c r="CF15" s="139">
        <v>8047</v>
      </c>
      <c r="CG15" s="216">
        <v>6699</v>
      </c>
      <c r="CH15" s="216">
        <v>584</v>
      </c>
      <c r="CI15" s="216">
        <v>764</v>
      </c>
      <c r="CJ15" s="212">
        <v>21.5</v>
      </c>
      <c r="CK15" s="144"/>
      <c r="CL15" s="130">
        <v>262</v>
      </c>
      <c r="CM15" s="228">
        <v>2408</v>
      </c>
      <c r="CN15" s="138"/>
      <c r="CO15" s="142">
        <v>296</v>
      </c>
      <c r="CP15" s="142">
        <v>54.415016713808178</v>
      </c>
      <c r="CQ15" s="183">
        <v>-1184.8006644518273</v>
      </c>
      <c r="CR15" s="144"/>
      <c r="CS15"/>
      <c r="CU15" s="232">
        <v>52.149061613934023</v>
      </c>
      <c r="CV15" s="143">
        <v>3031.1461794019933</v>
      </c>
      <c r="CW15" s="146">
        <v>124.02285740887295</v>
      </c>
      <c r="CX15" s="143">
        <v>8920.6810631229237</v>
      </c>
      <c r="CY15" s="131">
        <v>4217</v>
      </c>
      <c r="CZ15" s="229">
        <v>1630</v>
      </c>
      <c r="DA15" s="229">
        <v>19394</v>
      </c>
      <c r="DB15" s="216">
        <v>-17764</v>
      </c>
      <c r="DC15" s="229">
        <v>8100</v>
      </c>
      <c r="DD15" s="229">
        <v>9715</v>
      </c>
      <c r="DE15" s="151"/>
      <c r="DG15" s="229">
        <v>69</v>
      </c>
      <c r="DH15" s="229">
        <v>175</v>
      </c>
      <c r="DI15" s="229">
        <v>295</v>
      </c>
      <c r="DJ15" s="229">
        <v>744</v>
      </c>
      <c r="DK15" s="229">
        <v>0</v>
      </c>
      <c r="DL15" s="229">
        <v>0</v>
      </c>
      <c r="DM15" s="229">
        <v>-449</v>
      </c>
      <c r="DN15" s="130">
        <v>0</v>
      </c>
      <c r="DO15" s="130">
        <v>0</v>
      </c>
      <c r="DP15" s="130">
        <v>0</v>
      </c>
      <c r="DQ15" s="130">
        <v>-449</v>
      </c>
      <c r="DR15" s="130">
        <v>2838</v>
      </c>
      <c r="DS15" s="130">
        <v>295</v>
      </c>
      <c r="DT15" s="167"/>
      <c r="DU15" s="183">
        <v>181</v>
      </c>
      <c r="DV15" s="183">
        <v>0</v>
      </c>
      <c r="DW15" s="180">
        <v>-1230</v>
      </c>
      <c r="DX15" s="130">
        <v>8100</v>
      </c>
      <c r="DY15" s="229">
        <v>6733</v>
      </c>
      <c r="DZ15" s="229">
        <v>674</v>
      </c>
      <c r="EA15" s="229">
        <v>693</v>
      </c>
      <c r="EB15" s="212">
        <v>21.5</v>
      </c>
      <c r="EC15" s="208"/>
      <c r="ED15" s="183">
        <v>287.72794117646998</v>
      </c>
      <c r="EE15" s="3">
        <v>12714</v>
      </c>
      <c r="EF15" s="183">
        <v>13692</v>
      </c>
      <c r="EG15" s="130">
        <v>13237</v>
      </c>
      <c r="EH15" s="130"/>
      <c r="EI15" s="130"/>
      <c r="EJ15" s="130"/>
      <c r="EK15" s="183">
        <v>-956</v>
      </c>
      <c r="EL15" s="183">
        <v>75</v>
      </c>
      <c r="EM15" s="183">
        <v>94</v>
      </c>
      <c r="EN15" s="226">
        <v>-1384</v>
      </c>
      <c r="EO15" s="226">
        <v>160</v>
      </c>
      <c r="EP15" s="226">
        <v>7</v>
      </c>
      <c r="EQ15" s="226">
        <v>-1591</v>
      </c>
      <c r="ER15" s="230">
        <v>61</v>
      </c>
      <c r="ES15" s="230">
        <v>5</v>
      </c>
      <c r="ET15" s="3">
        <v>0</v>
      </c>
      <c r="EU15" s="211">
        <v>550</v>
      </c>
      <c r="EV15" s="183">
        <v>0</v>
      </c>
      <c r="EW15" s="183">
        <v>1000</v>
      </c>
      <c r="EX15" s="130">
        <v>0</v>
      </c>
      <c r="EY15" s="183">
        <v>3200</v>
      </c>
      <c r="EZ15" s="3">
        <v>5500</v>
      </c>
      <c r="FA15" s="3">
        <v>0</v>
      </c>
      <c r="FB15" s="3">
        <v>5500</v>
      </c>
      <c r="FC15" s="3">
        <v>194</v>
      </c>
      <c r="FD15" s="226">
        <v>6500</v>
      </c>
      <c r="FE15" s="183">
        <v>0</v>
      </c>
      <c r="FF15" s="183">
        <v>6500</v>
      </c>
      <c r="FG15" s="183">
        <v>187</v>
      </c>
      <c r="FH15" s="230">
        <v>9700</v>
      </c>
      <c r="FI15" s="130">
        <v>0</v>
      </c>
      <c r="FJ15" s="130">
        <v>9700</v>
      </c>
      <c r="FK15" s="130">
        <v>180</v>
      </c>
      <c r="FL15" s="29">
        <v>3319.8544278204613</v>
      </c>
      <c r="FM15" s="139">
        <v>3919.5876288659792</v>
      </c>
      <c r="FN15" s="139">
        <v>5443.5215946843855</v>
      </c>
      <c r="FO15" s="172">
        <f t="shared" si="0"/>
        <v>313.16279069767444</v>
      </c>
      <c r="FP15" s="170">
        <f t="shared" si="1"/>
        <v>130.05099281464885</v>
      </c>
      <c r="FR15" s="175"/>
      <c r="FS15" s="195"/>
      <c r="FV15" s="175">
        <v>500</v>
      </c>
      <c r="FW15" s="2">
        <f t="shared" si="2"/>
        <v>-500</v>
      </c>
      <c r="FZ15" s="186"/>
      <c r="GA15" s="2"/>
      <c r="GB15" s="2"/>
    </row>
    <row r="16" spans="1:185" ht="13" x14ac:dyDescent="0.3">
      <c r="A16" s="77">
        <v>61</v>
      </c>
      <c r="B16" s="75" t="s">
        <v>14</v>
      </c>
      <c r="C16" s="179">
        <v>17028</v>
      </c>
      <c r="D16" s="138"/>
      <c r="E16" s="142">
        <v>1.528272656855151</v>
      </c>
      <c r="F16" s="142">
        <v>45.479082321187583</v>
      </c>
      <c r="G16" s="183">
        <v>-1777.0730561428236</v>
      </c>
      <c r="H16" s="144"/>
      <c r="I16" s="186"/>
      <c r="K16" s="210">
        <v>59.294335585504726</v>
      </c>
      <c r="L16" s="143">
        <v>1039.6405919661734</v>
      </c>
      <c r="M16" s="146">
        <v>52.930052916987499</v>
      </c>
      <c r="N16" s="143">
        <v>7169.2506459948318</v>
      </c>
      <c r="O16" s="138">
        <v>29324</v>
      </c>
      <c r="P16" s="143">
        <v>18368</v>
      </c>
      <c r="Q16" s="184">
        <v>112690</v>
      </c>
      <c r="R16" s="184">
        <v>-94322</v>
      </c>
      <c r="S16" s="139">
        <v>60239</v>
      </c>
      <c r="T16" s="138">
        <v>39953</v>
      </c>
      <c r="U16" s="151"/>
      <c r="W16" s="183">
        <v>-359</v>
      </c>
      <c r="X16" s="183">
        <v>42</v>
      </c>
      <c r="Y16" s="184">
        <v>5553</v>
      </c>
      <c r="Z16" s="130">
        <v>8099</v>
      </c>
      <c r="AA16" s="130">
        <v>0</v>
      </c>
      <c r="AB16" s="130">
        <v>-2000</v>
      </c>
      <c r="AC16" s="184">
        <v>-546</v>
      </c>
      <c r="AD16" s="184">
        <v>93</v>
      </c>
      <c r="AE16" s="184">
        <v>0</v>
      </c>
      <c r="AF16" s="183">
        <v>0</v>
      </c>
      <c r="AG16" s="183">
        <v>-453</v>
      </c>
      <c r="AH16" s="183">
        <v>8609</v>
      </c>
      <c r="AI16" s="183">
        <v>3837</v>
      </c>
      <c r="AJ16" s="167"/>
      <c r="AK16" s="183">
        <v>245</v>
      </c>
      <c r="AL16" s="183">
        <v>-3507</v>
      </c>
      <c r="AM16" s="180">
        <v>-1029</v>
      </c>
      <c r="AN16" s="139">
        <v>60239</v>
      </c>
      <c r="AO16" s="138">
        <v>51271</v>
      </c>
      <c r="AP16" s="184">
        <v>3659</v>
      </c>
      <c r="AQ16" s="138">
        <v>5309</v>
      </c>
      <c r="AR16" s="109">
        <v>20.5</v>
      </c>
      <c r="AS16" s="144"/>
      <c r="AT16" s="139">
        <v>102</v>
      </c>
      <c r="AU16" s="228">
        <v>16901</v>
      </c>
      <c r="AV16" s="138"/>
      <c r="AW16" s="224">
        <v>0.79074030073656698</v>
      </c>
      <c r="AX16" s="225">
        <v>51.880991514888578</v>
      </c>
      <c r="AY16" s="139">
        <v>-1892.0773918703035</v>
      </c>
      <c r="AZ16" s="144"/>
      <c r="BA16"/>
      <c r="BC16" s="189">
        <v>56.36317406213707</v>
      </c>
      <c r="BD16" s="183">
        <v>1346.015028696527</v>
      </c>
      <c r="BE16" s="140">
        <v>61.883817643858485</v>
      </c>
      <c r="BF16" s="139">
        <v>7938.9976924442344</v>
      </c>
      <c r="BG16" s="184">
        <v>29784</v>
      </c>
      <c r="BH16" s="216">
        <v>18319</v>
      </c>
      <c r="BI16" s="216">
        <v>114153</v>
      </c>
      <c r="BJ16" s="216">
        <v>-95834</v>
      </c>
      <c r="BK16" s="216">
        <v>60706</v>
      </c>
      <c r="BL16" s="216">
        <v>40832</v>
      </c>
      <c r="BM16" s="151"/>
      <c r="BO16" s="216">
        <v>-244</v>
      </c>
      <c r="BP16" s="216">
        <v>60</v>
      </c>
      <c r="BQ16" s="216">
        <v>5520</v>
      </c>
      <c r="BR16" s="216">
        <v>6058</v>
      </c>
      <c r="BS16" s="216">
        <v>100</v>
      </c>
      <c r="BT16" s="216">
        <v>125</v>
      </c>
      <c r="BU16" s="216">
        <v>-563</v>
      </c>
      <c r="BV16" s="184">
        <v>94</v>
      </c>
      <c r="BW16" s="184">
        <v>0</v>
      </c>
      <c r="BX16" s="183">
        <v>0</v>
      </c>
      <c r="BY16" s="183">
        <v>-469</v>
      </c>
      <c r="BZ16" s="183">
        <v>8139</v>
      </c>
      <c r="CA16" s="183">
        <v>3972</v>
      </c>
      <c r="CB16" s="167"/>
      <c r="CC16" s="183">
        <v>-1499</v>
      </c>
      <c r="CD16" s="183">
        <v>-13513</v>
      </c>
      <c r="CE16" s="180">
        <v>-1854</v>
      </c>
      <c r="CF16" s="139">
        <v>60706</v>
      </c>
      <c r="CG16" s="216">
        <v>51722</v>
      </c>
      <c r="CH16" s="216">
        <v>3679</v>
      </c>
      <c r="CI16" s="216">
        <v>5305</v>
      </c>
      <c r="CJ16" s="212">
        <v>20.5</v>
      </c>
      <c r="CK16" s="144"/>
      <c r="CL16" s="130">
        <v>81</v>
      </c>
      <c r="CM16" s="228">
        <v>16800</v>
      </c>
      <c r="CN16" s="138"/>
      <c r="CO16" s="142">
        <v>2.7788697788697787</v>
      </c>
      <c r="CP16" s="142">
        <v>48.443761792636714</v>
      </c>
      <c r="CQ16" s="183">
        <v>-1605.4761904761904</v>
      </c>
      <c r="CR16" s="144"/>
      <c r="CS16"/>
      <c r="CU16" s="232">
        <v>57.944611817673263</v>
      </c>
      <c r="CV16" s="143">
        <v>1689.1071428571429</v>
      </c>
      <c r="CW16" s="146">
        <v>81.698756882108881</v>
      </c>
      <c r="CX16" s="143">
        <v>7546.3095238095239</v>
      </c>
      <c r="CY16" s="131">
        <v>29500</v>
      </c>
      <c r="CZ16" s="229">
        <v>18363</v>
      </c>
      <c r="DA16" s="229">
        <v>116977</v>
      </c>
      <c r="DB16" s="216">
        <v>-98614</v>
      </c>
      <c r="DC16" s="229">
        <v>61562</v>
      </c>
      <c r="DD16" s="229">
        <v>48333</v>
      </c>
      <c r="DE16" s="151"/>
      <c r="DG16" s="229">
        <v>-434</v>
      </c>
      <c r="DH16" s="229">
        <v>27</v>
      </c>
      <c r="DI16" s="229">
        <v>10874</v>
      </c>
      <c r="DJ16" s="229">
        <v>7583</v>
      </c>
      <c r="DK16" s="229">
        <v>0</v>
      </c>
      <c r="DL16" s="229">
        <v>-664</v>
      </c>
      <c r="DM16" s="229">
        <v>3955</v>
      </c>
      <c r="DN16" s="131">
        <v>88</v>
      </c>
      <c r="DO16" s="131">
        <v>-3000</v>
      </c>
      <c r="DP16" s="130">
        <v>0</v>
      </c>
      <c r="DQ16" s="130">
        <v>1043</v>
      </c>
      <c r="DR16" s="130">
        <v>9182</v>
      </c>
      <c r="DS16" s="130">
        <v>10453</v>
      </c>
      <c r="DT16" s="167"/>
      <c r="DU16" s="183">
        <v>673</v>
      </c>
      <c r="DV16" s="183">
        <v>-3634</v>
      </c>
      <c r="DW16" s="180">
        <v>4895</v>
      </c>
      <c r="DX16" s="130">
        <v>61562</v>
      </c>
      <c r="DY16" s="229">
        <v>52863</v>
      </c>
      <c r="DZ16" s="229">
        <v>3955</v>
      </c>
      <c r="EA16" s="229">
        <v>4744</v>
      </c>
      <c r="EB16" s="212">
        <v>20.5</v>
      </c>
      <c r="EC16" s="208"/>
      <c r="ED16" s="183">
        <v>160.80147058823499</v>
      </c>
      <c r="EE16" s="3">
        <v>75016</v>
      </c>
      <c r="EF16" s="183">
        <v>75782</v>
      </c>
      <c r="EG16" s="130">
        <v>78558</v>
      </c>
      <c r="EH16" s="130"/>
      <c r="EI16" s="130"/>
      <c r="EJ16" s="130"/>
      <c r="EK16" s="183">
        <v>-5510</v>
      </c>
      <c r="EL16" s="183">
        <v>43</v>
      </c>
      <c r="EM16" s="183">
        <v>601</v>
      </c>
      <c r="EN16" s="226">
        <v>-6173</v>
      </c>
      <c r="EO16" s="226">
        <v>164</v>
      </c>
      <c r="EP16" s="226">
        <v>183</v>
      </c>
      <c r="EQ16" s="226">
        <v>-5724</v>
      </c>
      <c r="ER16" s="230">
        <v>34</v>
      </c>
      <c r="ES16" s="230">
        <v>132</v>
      </c>
      <c r="ET16" s="3">
        <v>6383</v>
      </c>
      <c r="EU16" s="211">
        <v>-1160</v>
      </c>
      <c r="EV16" s="183">
        <v>10152</v>
      </c>
      <c r="EW16" s="183">
        <v>12068</v>
      </c>
      <c r="EX16" s="130">
        <v>10000</v>
      </c>
      <c r="EY16" s="183">
        <v>-7201</v>
      </c>
      <c r="EZ16" s="3">
        <v>44942</v>
      </c>
      <c r="FA16" s="3">
        <v>24067</v>
      </c>
      <c r="FB16" s="3">
        <v>20875</v>
      </c>
      <c r="FC16" s="3">
        <v>639</v>
      </c>
      <c r="FD16" s="226">
        <v>53650</v>
      </c>
      <c r="FE16" s="183">
        <v>20810</v>
      </c>
      <c r="FF16" s="183">
        <v>32840</v>
      </c>
      <c r="FG16" s="183">
        <v>517</v>
      </c>
      <c r="FH16" s="230">
        <v>52814</v>
      </c>
      <c r="FI16" s="130">
        <v>27174</v>
      </c>
      <c r="FJ16" s="130">
        <v>25640</v>
      </c>
      <c r="FK16" s="130">
        <v>395</v>
      </c>
      <c r="FL16" s="29">
        <v>4002.8776133427291</v>
      </c>
      <c r="FM16" s="139">
        <v>4080.5277794213362</v>
      </c>
      <c r="FN16" s="139">
        <v>4027.7976190476188</v>
      </c>
      <c r="FO16" s="172">
        <f t="shared" si="0"/>
        <v>2578.6829268292681</v>
      </c>
      <c r="FP16" s="170">
        <f t="shared" si="1"/>
        <v>153.49303135888502</v>
      </c>
      <c r="FR16" s="175"/>
      <c r="FS16" s="195"/>
      <c r="FV16" s="175">
        <v>2820</v>
      </c>
      <c r="FW16" s="2">
        <f t="shared" si="2"/>
        <v>-2820</v>
      </c>
      <c r="FZ16" s="186"/>
      <c r="GA16" s="2"/>
      <c r="GB16" s="2"/>
    </row>
    <row r="17" spans="1:184" ht="13" x14ac:dyDescent="0.3">
      <c r="A17" s="77">
        <v>69</v>
      </c>
      <c r="B17" s="75" t="s">
        <v>15</v>
      </c>
      <c r="C17" s="179">
        <v>7147</v>
      </c>
      <c r="D17" s="138"/>
      <c r="E17" s="142">
        <v>6.1254612546125464E-2</v>
      </c>
      <c r="F17" s="142">
        <v>73.094281416030313</v>
      </c>
      <c r="G17" s="183">
        <v>-3316.216594375262</v>
      </c>
      <c r="H17" s="144"/>
      <c r="I17" s="186"/>
      <c r="K17" s="210">
        <v>37.024650472290652</v>
      </c>
      <c r="L17" s="143">
        <v>1864.8383937316357</v>
      </c>
      <c r="M17" s="146">
        <v>81.377049180327873</v>
      </c>
      <c r="N17" s="143">
        <v>8364.348677766895</v>
      </c>
      <c r="O17" s="138">
        <v>14583</v>
      </c>
      <c r="P17" s="143">
        <v>5885</v>
      </c>
      <c r="Q17" s="184">
        <v>52269</v>
      </c>
      <c r="R17" s="184">
        <v>-46384</v>
      </c>
      <c r="S17" s="139">
        <v>23161</v>
      </c>
      <c r="T17" s="138">
        <v>23467</v>
      </c>
      <c r="U17" s="151"/>
      <c r="W17" s="183">
        <v>-295</v>
      </c>
      <c r="X17" s="183">
        <v>84</v>
      </c>
      <c r="Y17" s="184">
        <v>33</v>
      </c>
      <c r="Z17" s="130">
        <v>2056</v>
      </c>
      <c r="AA17" s="131">
        <v>0</v>
      </c>
      <c r="AB17" s="130">
        <v>0</v>
      </c>
      <c r="AC17" s="184">
        <v>-2023</v>
      </c>
      <c r="AD17" s="184">
        <v>85</v>
      </c>
      <c r="AE17" s="184">
        <v>0</v>
      </c>
      <c r="AF17" s="184">
        <v>0</v>
      </c>
      <c r="AG17" s="183">
        <v>-1938</v>
      </c>
      <c r="AH17" s="183">
        <v>-2084</v>
      </c>
      <c r="AI17" s="183">
        <v>27</v>
      </c>
      <c r="AJ17" s="167"/>
      <c r="AK17" s="183">
        <v>748</v>
      </c>
      <c r="AL17" s="183">
        <v>-5121</v>
      </c>
      <c r="AM17" s="180">
        <v>-1272</v>
      </c>
      <c r="AN17" s="139">
        <v>23161</v>
      </c>
      <c r="AO17" s="138">
        <v>19358</v>
      </c>
      <c r="AP17" s="184">
        <v>1560</v>
      </c>
      <c r="AQ17" s="138">
        <v>2243</v>
      </c>
      <c r="AR17" s="109">
        <v>22</v>
      </c>
      <c r="AS17" s="144"/>
      <c r="AT17" s="139">
        <v>252</v>
      </c>
      <c r="AU17" s="228">
        <v>7010</v>
      </c>
      <c r="AV17" s="138"/>
      <c r="AW17" s="224">
        <v>3.0240612055501482E-2</v>
      </c>
      <c r="AX17" s="225">
        <v>83.362468063853086</v>
      </c>
      <c r="AY17" s="139">
        <v>-3805.848787446505</v>
      </c>
      <c r="AZ17" s="144"/>
      <c r="BA17"/>
      <c r="BC17" s="189">
        <v>31.888109703718744</v>
      </c>
      <c r="BD17" s="183">
        <v>2208.1312410841651</v>
      </c>
      <c r="BE17" s="140">
        <v>89.968390713080041</v>
      </c>
      <c r="BF17" s="139">
        <v>8958.3452211126969</v>
      </c>
      <c r="BG17" s="184">
        <v>14390</v>
      </c>
      <c r="BH17" s="216">
        <v>5171</v>
      </c>
      <c r="BI17" s="216">
        <v>53348</v>
      </c>
      <c r="BJ17" s="216">
        <v>-48177</v>
      </c>
      <c r="BK17" s="216">
        <v>23573</v>
      </c>
      <c r="BL17" s="216">
        <v>23313</v>
      </c>
      <c r="BM17" s="151"/>
      <c r="BO17" s="216">
        <v>-328</v>
      </c>
      <c r="BP17" s="216">
        <v>1455</v>
      </c>
      <c r="BQ17" s="216">
        <v>-164</v>
      </c>
      <c r="BR17" s="216">
        <v>2114</v>
      </c>
      <c r="BS17" s="216">
        <v>0</v>
      </c>
      <c r="BT17" s="216">
        <v>0</v>
      </c>
      <c r="BU17" s="216">
        <v>-2278</v>
      </c>
      <c r="BV17" s="184">
        <v>85</v>
      </c>
      <c r="BW17" s="184">
        <v>0</v>
      </c>
      <c r="BX17" s="184">
        <v>0</v>
      </c>
      <c r="BY17" s="183">
        <v>-2193</v>
      </c>
      <c r="BZ17" s="183">
        <v>-4277</v>
      </c>
      <c r="CA17" s="183">
        <v>-353</v>
      </c>
      <c r="CB17" s="167"/>
      <c r="CC17" s="183">
        <v>116</v>
      </c>
      <c r="CD17" s="183">
        <v>-5040</v>
      </c>
      <c r="CE17" s="180">
        <v>-3717</v>
      </c>
      <c r="CF17" s="139">
        <v>23573</v>
      </c>
      <c r="CG17" s="216">
        <v>20118</v>
      </c>
      <c r="CH17" s="216">
        <v>1237</v>
      </c>
      <c r="CI17" s="216">
        <v>2218</v>
      </c>
      <c r="CJ17" s="212">
        <v>22.5</v>
      </c>
      <c r="CK17" s="144"/>
      <c r="CL17" s="130">
        <v>237</v>
      </c>
      <c r="CM17" s="228">
        <v>6896</v>
      </c>
      <c r="CN17" s="138"/>
      <c r="CO17" s="142">
        <v>0.73676388630874978</v>
      </c>
      <c r="CP17" s="142">
        <v>79.923974540311178</v>
      </c>
      <c r="CQ17" s="183">
        <v>-3960.991879350348</v>
      </c>
      <c r="CR17" s="144"/>
      <c r="CS17"/>
      <c r="CU17" s="232">
        <v>32.312874474617701</v>
      </c>
      <c r="CV17" s="143">
        <v>2273.3468677494197</v>
      </c>
      <c r="CW17" s="146">
        <v>91.324273425156008</v>
      </c>
      <c r="CX17" s="143">
        <v>9085.9918793503475</v>
      </c>
      <c r="CY17" s="131">
        <v>14155</v>
      </c>
      <c r="CZ17" s="229">
        <v>5280</v>
      </c>
      <c r="DA17" s="229">
        <v>52922</v>
      </c>
      <c r="DB17" s="216">
        <v>-47642</v>
      </c>
      <c r="DC17" s="229">
        <v>23624</v>
      </c>
      <c r="DD17" s="229">
        <v>27656</v>
      </c>
      <c r="DE17" s="151"/>
      <c r="DG17" s="229">
        <v>-315</v>
      </c>
      <c r="DH17" s="229">
        <v>325</v>
      </c>
      <c r="DI17" s="229">
        <v>3648</v>
      </c>
      <c r="DJ17" s="229">
        <v>2384</v>
      </c>
      <c r="DK17" s="229">
        <v>0</v>
      </c>
      <c r="DL17" s="229">
        <v>0</v>
      </c>
      <c r="DM17" s="229">
        <v>1264</v>
      </c>
      <c r="DN17" s="131">
        <v>85</v>
      </c>
      <c r="DO17" s="131">
        <v>0</v>
      </c>
      <c r="DP17" s="131">
        <v>0</v>
      </c>
      <c r="DQ17" s="130">
        <v>1349</v>
      </c>
      <c r="DR17" s="130">
        <v>-2928</v>
      </c>
      <c r="DS17" s="130">
        <v>3115</v>
      </c>
      <c r="DT17" s="167"/>
      <c r="DU17" s="183">
        <v>-974</v>
      </c>
      <c r="DV17" s="183">
        <v>-5065</v>
      </c>
      <c r="DW17" s="180">
        <v>690</v>
      </c>
      <c r="DX17" s="130">
        <v>23624</v>
      </c>
      <c r="DY17" s="229">
        <v>20221</v>
      </c>
      <c r="DZ17" s="229">
        <v>1388</v>
      </c>
      <c r="EA17" s="229">
        <v>2015</v>
      </c>
      <c r="EB17" s="212">
        <v>22.5</v>
      </c>
      <c r="EC17" s="208"/>
      <c r="ED17" s="183">
        <v>215.19852941176401</v>
      </c>
      <c r="EE17" s="3">
        <v>33873</v>
      </c>
      <c r="EF17" s="183">
        <v>34825</v>
      </c>
      <c r="EG17" s="130">
        <v>34495</v>
      </c>
      <c r="EH17" s="130"/>
      <c r="EI17" s="130"/>
      <c r="EJ17" s="130">
        <v>970</v>
      </c>
      <c r="EK17" s="183">
        <v>-1372</v>
      </c>
      <c r="EL17" s="183">
        <v>64</v>
      </c>
      <c r="EM17" s="183">
        <v>9</v>
      </c>
      <c r="EN17" s="226">
        <v>-3878</v>
      </c>
      <c r="EO17" s="226">
        <v>177</v>
      </c>
      <c r="EP17" s="226">
        <v>337</v>
      </c>
      <c r="EQ17" s="226">
        <v>-3874</v>
      </c>
      <c r="ER17" s="230">
        <v>46</v>
      </c>
      <c r="ES17" s="230">
        <v>1403</v>
      </c>
      <c r="ET17" s="3">
        <v>5890</v>
      </c>
      <c r="EU17" s="211">
        <v>-1040</v>
      </c>
      <c r="EV17" s="183">
        <v>8005</v>
      </c>
      <c r="EW17" s="183">
        <v>2000</v>
      </c>
      <c r="EX17" s="130">
        <v>11360</v>
      </c>
      <c r="EY17" s="183">
        <v>-3500</v>
      </c>
      <c r="EZ17" s="3">
        <v>34091</v>
      </c>
      <c r="FA17" s="3">
        <v>22649</v>
      </c>
      <c r="FB17" s="3">
        <v>11442</v>
      </c>
      <c r="FC17" s="3">
        <v>1132</v>
      </c>
      <c r="FD17" s="226">
        <v>39056</v>
      </c>
      <c r="FE17" s="183">
        <v>25816</v>
      </c>
      <c r="FF17" s="183">
        <v>13240</v>
      </c>
      <c r="FG17" s="183">
        <v>1132</v>
      </c>
      <c r="FH17" s="230">
        <v>41851</v>
      </c>
      <c r="FI17" s="130">
        <v>31156</v>
      </c>
      <c r="FJ17" s="130">
        <v>10695</v>
      </c>
      <c r="FK17" s="130">
        <v>1132</v>
      </c>
      <c r="FL17" s="29">
        <v>5898.139079333986</v>
      </c>
      <c r="FM17" s="139">
        <v>7411.2696148359482</v>
      </c>
      <c r="FN17" s="139">
        <v>9184.0197215777262</v>
      </c>
      <c r="FO17" s="172">
        <f t="shared" si="0"/>
        <v>898.71111111111111</v>
      </c>
      <c r="FP17" s="170">
        <f t="shared" si="1"/>
        <v>130.32353699407065</v>
      </c>
      <c r="FR17" s="175"/>
      <c r="FS17" s="195"/>
      <c r="FV17" s="175">
        <v>5099</v>
      </c>
      <c r="FW17" s="2">
        <f t="shared" si="2"/>
        <v>-5099</v>
      </c>
      <c r="FZ17" s="186"/>
      <c r="GA17" s="2"/>
      <c r="GB17" s="2"/>
    </row>
    <row r="18" spans="1:184" ht="13" x14ac:dyDescent="0.3">
      <c r="A18" s="77">
        <v>71</v>
      </c>
      <c r="B18" s="75" t="s">
        <v>16</v>
      </c>
      <c r="C18" s="179">
        <v>6854</v>
      </c>
      <c r="D18" s="138"/>
      <c r="E18" s="142">
        <v>0.16343263186663023</v>
      </c>
      <c r="F18" s="142">
        <v>64.901348093920191</v>
      </c>
      <c r="G18" s="183">
        <v>-2563.1747884447036</v>
      </c>
      <c r="H18" s="144"/>
      <c r="I18" s="186"/>
      <c r="K18" s="210">
        <v>34.617994785155553</v>
      </c>
      <c r="L18" s="143">
        <v>1126.4954770936679</v>
      </c>
      <c r="M18" s="146">
        <v>45.515205840076227</v>
      </c>
      <c r="N18" s="143">
        <v>9033.702947184127</v>
      </c>
      <c r="O18" s="138">
        <v>28185</v>
      </c>
      <c r="P18" s="143">
        <v>11262</v>
      </c>
      <c r="Q18" s="184">
        <v>55683</v>
      </c>
      <c r="R18" s="184">
        <v>-44421</v>
      </c>
      <c r="S18" s="139">
        <v>20219</v>
      </c>
      <c r="T18" s="138">
        <v>24524</v>
      </c>
      <c r="U18" s="151"/>
      <c r="W18" s="183">
        <v>-163</v>
      </c>
      <c r="X18" s="183">
        <v>145</v>
      </c>
      <c r="Y18" s="184">
        <v>304</v>
      </c>
      <c r="Z18" s="130">
        <v>1671</v>
      </c>
      <c r="AA18" s="130">
        <v>0</v>
      </c>
      <c r="AB18" s="130">
        <v>0</v>
      </c>
      <c r="AC18" s="184">
        <v>-1367</v>
      </c>
      <c r="AD18" s="183">
        <v>0</v>
      </c>
      <c r="AE18" s="183">
        <v>0</v>
      </c>
      <c r="AF18" s="183">
        <v>0</v>
      </c>
      <c r="AG18" s="183">
        <v>-1367</v>
      </c>
      <c r="AH18" s="183">
        <v>3637</v>
      </c>
      <c r="AI18" s="183">
        <v>304</v>
      </c>
      <c r="AJ18" s="167"/>
      <c r="AK18" s="183">
        <v>224</v>
      </c>
      <c r="AL18" s="183">
        <v>-3365</v>
      </c>
      <c r="AM18" s="180">
        <v>28</v>
      </c>
      <c r="AN18" s="139">
        <v>20219</v>
      </c>
      <c r="AO18" s="138">
        <v>17246</v>
      </c>
      <c r="AP18" s="184">
        <v>1309</v>
      </c>
      <c r="AQ18" s="138">
        <v>1664</v>
      </c>
      <c r="AR18" s="109">
        <v>22</v>
      </c>
      <c r="AS18" s="144"/>
      <c r="AT18" s="139">
        <v>234</v>
      </c>
      <c r="AU18" s="228">
        <v>6758</v>
      </c>
      <c r="AV18" s="138"/>
      <c r="AW18" s="224">
        <v>0.31886757310486125</v>
      </c>
      <c r="AX18" s="225">
        <v>57.881602885064318</v>
      </c>
      <c r="AY18" s="139">
        <v>-2593.6667653151821</v>
      </c>
      <c r="AZ18" s="144"/>
      <c r="BA18"/>
      <c r="BC18" s="189">
        <v>34.193782948554805</v>
      </c>
      <c r="BD18" s="183">
        <v>1190.4409588635692</v>
      </c>
      <c r="BE18" s="140">
        <v>44.616348856643626</v>
      </c>
      <c r="BF18" s="139">
        <v>9738.8280556377631</v>
      </c>
      <c r="BG18" s="184">
        <v>30204</v>
      </c>
      <c r="BH18" s="216">
        <v>16163</v>
      </c>
      <c r="BI18" s="216">
        <v>61497</v>
      </c>
      <c r="BJ18" s="216">
        <v>-45334</v>
      </c>
      <c r="BK18" s="216">
        <v>21361</v>
      </c>
      <c r="BL18" s="216">
        <v>24589</v>
      </c>
      <c r="BM18" s="151"/>
      <c r="BO18" s="216">
        <v>-153</v>
      </c>
      <c r="BP18" s="216">
        <v>528</v>
      </c>
      <c r="BQ18" s="216">
        <v>991</v>
      </c>
      <c r="BR18" s="216">
        <v>1565</v>
      </c>
      <c r="BS18" s="216">
        <v>0</v>
      </c>
      <c r="BT18" s="216">
        <v>0</v>
      </c>
      <c r="BU18" s="216">
        <v>-574</v>
      </c>
      <c r="BV18" s="183">
        <v>0</v>
      </c>
      <c r="BW18" s="183">
        <v>0</v>
      </c>
      <c r="BX18" s="183">
        <v>0</v>
      </c>
      <c r="BY18" s="183">
        <v>-574</v>
      </c>
      <c r="BZ18" s="183">
        <v>3063</v>
      </c>
      <c r="CA18" s="183">
        <v>963</v>
      </c>
      <c r="CB18" s="167"/>
      <c r="CC18" s="183">
        <v>681</v>
      </c>
      <c r="CD18" s="183">
        <v>-2833</v>
      </c>
      <c r="CE18" s="180">
        <v>255</v>
      </c>
      <c r="CF18" s="139">
        <v>21361</v>
      </c>
      <c r="CG18" s="216">
        <v>18344</v>
      </c>
      <c r="CH18" s="216">
        <v>1310</v>
      </c>
      <c r="CI18" s="216">
        <v>1707</v>
      </c>
      <c r="CJ18" s="212">
        <v>22</v>
      </c>
      <c r="CK18" s="144"/>
      <c r="CL18" s="130">
        <v>155</v>
      </c>
      <c r="CM18" s="228">
        <v>6667</v>
      </c>
      <c r="CN18" s="138"/>
      <c r="CO18" s="142">
        <v>1.17266913497139</v>
      </c>
      <c r="CP18" s="142">
        <v>63.416278499632263</v>
      </c>
      <c r="CQ18" s="183">
        <v>-3268.3365831708415</v>
      </c>
      <c r="CR18" s="144"/>
      <c r="CS18"/>
      <c r="CU18" s="232">
        <v>33.098118279569896</v>
      </c>
      <c r="CV18" s="143">
        <v>1354.7322633868307</v>
      </c>
      <c r="CW18" s="146">
        <v>44.367463393626181</v>
      </c>
      <c r="CX18" s="143">
        <v>11145.042747862606</v>
      </c>
      <c r="CY18" s="131">
        <v>30266</v>
      </c>
      <c r="CZ18" s="229">
        <v>16857</v>
      </c>
      <c r="DA18" s="229">
        <v>62065</v>
      </c>
      <c r="DB18" s="216">
        <v>-45208</v>
      </c>
      <c r="DC18" s="229">
        <v>21576</v>
      </c>
      <c r="DD18" s="229">
        <v>26831</v>
      </c>
      <c r="DE18" s="151"/>
      <c r="DG18" s="229">
        <v>-83</v>
      </c>
      <c r="DH18" s="229">
        <v>120</v>
      </c>
      <c r="DI18" s="229">
        <v>3236</v>
      </c>
      <c r="DJ18" s="229">
        <v>1360</v>
      </c>
      <c r="DK18" s="229">
        <v>0</v>
      </c>
      <c r="DL18" s="229">
        <v>0</v>
      </c>
      <c r="DM18" s="229">
        <v>1876</v>
      </c>
      <c r="DN18" s="130">
        <v>0</v>
      </c>
      <c r="DO18" s="130">
        <v>0</v>
      </c>
      <c r="DP18" s="130">
        <v>0</v>
      </c>
      <c r="DQ18" s="130">
        <v>1876</v>
      </c>
      <c r="DR18" s="130">
        <v>4938</v>
      </c>
      <c r="DS18" s="130">
        <v>2711</v>
      </c>
      <c r="DT18" s="167"/>
      <c r="DU18" s="183">
        <v>-187</v>
      </c>
      <c r="DV18" s="183">
        <v>-2723</v>
      </c>
      <c r="DW18" s="180">
        <v>-4281</v>
      </c>
      <c r="DX18" s="130">
        <v>21576</v>
      </c>
      <c r="DY18" s="229">
        <v>18864</v>
      </c>
      <c r="DZ18" s="229">
        <v>1224</v>
      </c>
      <c r="EA18" s="229">
        <v>1488</v>
      </c>
      <c r="EB18" s="212">
        <v>22</v>
      </c>
      <c r="EC18" s="208"/>
      <c r="ED18" s="183">
        <v>234.338235294117</v>
      </c>
      <c r="EE18" s="3">
        <v>20573</v>
      </c>
      <c r="EF18" s="183">
        <v>23684</v>
      </c>
      <c r="EG18" s="130">
        <v>24087</v>
      </c>
      <c r="EH18" s="130"/>
      <c r="EI18" s="130"/>
      <c r="EJ18" s="130"/>
      <c r="EK18" s="183">
        <v>-1843</v>
      </c>
      <c r="EL18" s="183">
        <v>43</v>
      </c>
      <c r="EM18" s="183">
        <v>1524</v>
      </c>
      <c r="EN18" s="226">
        <v>-970</v>
      </c>
      <c r="EO18" s="226">
        <v>90</v>
      </c>
      <c r="EP18" s="226">
        <v>172</v>
      </c>
      <c r="EQ18" s="226">
        <v>-7931</v>
      </c>
      <c r="ER18" s="230">
        <v>196</v>
      </c>
      <c r="ES18" s="230">
        <v>743</v>
      </c>
      <c r="ET18" s="3">
        <v>7000</v>
      </c>
      <c r="EU18" s="211">
        <v>-6289</v>
      </c>
      <c r="EV18" s="183">
        <v>0</v>
      </c>
      <c r="EW18" s="183">
        <v>2011</v>
      </c>
      <c r="EX18" s="130">
        <v>22000</v>
      </c>
      <c r="EY18" s="183">
        <v>-15700</v>
      </c>
      <c r="EZ18" s="3">
        <v>28246</v>
      </c>
      <c r="FA18" s="3">
        <v>11166</v>
      </c>
      <c r="FB18" s="3">
        <v>17080</v>
      </c>
      <c r="FC18" s="3">
        <v>0</v>
      </c>
      <c r="FD18" s="226">
        <v>27424</v>
      </c>
      <c r="FE18" s="183">
        <v>9251</v>
      </c>
      <c r="FF18" s="183">
        <v>18173</v>
      </c>
      <c r="FG18" s="183">
        <v>0</v>
      </c>
      <c r="FH18" s="230">
        <v>31001</v>
      </c>
      <c r="FI18" s="130">
        <v>28950</v>
      </c>
      <c r="FJ18" s="130">
        <v>2051</v>
      </c>
      <c r="FK18" s="130">
        <v>0</v>
      </c>
      <c r="FL18" s="29">
        <v>5428.6548001167203</v>
      </c>
      <c r="FM18" s="139">
        <v>5545.7235868600183</v>
      </c>
      <c r="FN18" s="139">
        <v>6462.126893655317</v>
      </c>
      <c r="FO18" s="172">
        <f t="shared" si="0"/>
        <v>857.4545454545455</v>
      </c>
      <c r="FP18" s="170">
        <f t="shared" si="1"/>
        <v>128.61175123062029</v>
      </c>
      <c r="FR18" s="175"/>
      <c r="FS18" s="195"/>
      <c r="FV18" s="175">
        <v>1987</v>
      </c>
      <c r="FW18" s="2">
        <f t="shared" si="2"/>
        <v>-1987</v>
      </c>
      <c r="FZ18" s="186"/>
      <c r="GA18" s="2"/>
      <c r="GB18" s="2"/>
    </row>
    <row r="19" spans="1:184" ht="13" x14ac:dyDescent="0.3">
      <c r="A19" s="77">
        <v>72</v>
      </c>
      <c r="B19" s="75" t="s">
        <v>17</v>
      </c>
      <c r="C19" s="179">
        <v>974</v>
      </c>
      <c r="D19" s="138"/>
      <c r="E19" s="142">
        <v>0.29491525423728815</v>
      </c>
      <c r="F19" s="142">
        <v>37.736952960449337</v>
      </c>
      <c r="G19" s="183">
        <v>-591.37577002053388</v>
      </c>
      <c r="H19" s="144"/>
      <c r="I19" s="186"/>
      <c r="K19" s="210">
        <v>70.114942528735625</v>
      </c>
      <c r="L19" s="143">
        <v>2139.6303901437373</v>
      </c>
      <c r="M19" s="146">
        <v>74.574509803921572</v>
      </c>
      <c r="N19" s="143">
        <v>10472.279260780286</v>
      </c>
      <c r="O19" s="138">
        <v>3710</v>
      </c>
      <c r="P19" s="143">
        <v>1631</v>
      </c>
      <c r="Q19" s="184">
        <v>8465</v>
      </c>
      <c r="R19" s="184">
        <v>-6834</v>
      </c>
      <c r="S19" s="139">
        <v>3469</v>
      </c>
      <c r="T19" s="138">
        <v>3446</v>
      </c>
      <c r="U19" s="151"/>
      <c r="W19" s="183">
        <v>-13</v>
      </c>
      <c r="X19" s="183">
        <v>0</v>
      </c>
      <c r="Y19" s="184">
        <v>68</v>
      </c>
      <c r="Z19" s="130">
        <v>398</v>
      </c>
      <c r="AA19" s="131">
        <v>0</v>
      </c>
      <c r="AB19" s="130">
        <v>0</v>
      </c>
      <c r="AC19" s="184">
        <v>-330</v>
      </c>
      <c r="AD19" s="184">
        <v>259</v>
      </c>
      <c r="AE19" s="184">
        <v>0</v>
      </c>
      <c r="AF19" s="183">
        <v>0</v>
      </c>
      <c r="AG19" s="183">
        <v>-71</v>
      </c>
      <c r="AH19" s="183">
        <v>3376</v>
      </c>
      <c r="AI19" s="183">
        <v>-47</v>
      </c>
      <c r="AJ19" s="167"/>
      <c r="AK19" s="183">
        <v>-64</v>
      </c>
      <c r="AL19" s="183">
        <v>-276</v>
      </c>
      <c r="AM19" s="180">
        <v>-852</v>
      </c>
      <c r="AN19" s="139">
        <v>3469</v>
      </c>
      <c r="AO19" s="138">
        <v>3032</v>
      </c>
      <c r="AP19" s="184">
        <v>98</v>
      </c>
      <c r="AQ19" s="138">
        <v>339</v>
      </c>
      <c r="AR19" s="109">
        <v>20.5</v>
      </c>
      <c r="AS19" s="144"/>
      <c r="AT19" s="139">
        <v>222</v>
      </c>
      <c r="AU19" s="228">
        <v>959</v>
      </c>
      <c r="AV19" s="138"/>
      <c r="AW19" s="224">
        <v>-0.13092852371409486</v>
      </c>
      <c r="AX19" s="225">
        <v>42.875632427344392</v>
      </c>
      <c r="AY19" s="139">
        <v>-2590.1981230448382</v>
      </c>
      <c r="AZ19" s="144"/>
      <c r="BA19"/>
      <c r="BC19" s="189">
        <v>66.99122224680977</v>
      </c>
      <c r="BD19" s="183">
        <v>739.31178310740358</v>
      </c>
      <c r="BE19" s="140">
        <v>24.16067594062179</v>
      </c>
      <c r="BF19" s="139">
        <v>11168.925964546403</v>
      </c>
      <c r="BG19" s="184">
        <v>3781</v>
      </c>
      <c r="BH19" s="216">
        <v>1482</v>
      </c>
      <c r="BI19" s="216">
        <v>8551</v>
      </c>
      <c r="BJ19" s="216">
        <v>-7069</v>
      </c>
      <c r="BK19" s="216">
        <v>3591</v>
      </c>
      <c r="BL19" s="216">
        <v>3426</v>
      </c>
      <c r="BM19" s="151"/>
      <c r="BO19" s="216">
        <v>-12</v>
      </c>
      <c r="BP19" s="216">
        <v>-2</v>
      </c>
      <c r="BQ19" s="216">
        <v>-66</v>
      </c>
      <c r="BR19" s="216">
        <v>367</v>
      </c>
      <c r="BS19" s="216">
        <v>0</v>
      </c>
      <c r="BT19" s="216">
        <v>0</v>
      </c>
      <c r="BU19" s="216">
        <v>-433</v>
      </c>
      <c r="BV19" s="184">
        <v>106</v>
      </c>
      <c r="BW19" s="184">
        <v>0</v>
      </c>
      <c r="BX19" s="183">
        <v>0</v>
      </c>
      <c r="BY19" s="183">
        <v>-327</v>
      </c>
      <c r="BZ19" s="183">
        <v>3048</v>
      </c>
      <c r="CA19" s="183">
        <v>-70</v>
      </c>
      <c r="CB19" s="167"/>
      <c r="CC19" s="183">
        <v>115</v>
      </c>
      <c r="CD19" s="183">
        <v>-276</v>
      </c>
      <c r="CE19" s="180">
        <v>-1922</v>
      </c>
      <c r="CF19" s="139">
        <v>3591</v>
      </c>
      <c r="CG19" s="216">
        <v>3153</v>
      </c>
      <c r="CH19" s="216">
        <v>98</v>
      </c>
      <c r="CI19" s="216">
        <v>340</v>
      </c>
      <c r="CJ19" s="212">
        <v>20.5</v>
      </c>
      <c r="CK19" s="144"/>
      <c r="CL19" s="130">
        <v>253</v>
      </c>
      <c r="CM19" s="228">
        <v>949</v>
      </c>
      <c r="CN19" s="138"/>
      <c r="CO19" s="142">
        <v>1.4830508474576272</v>
      </c>
      <c r="CP19" s="142">
        <v>37.284312619826323</v>
      </c>
      <c r="CQ19" s="183">
        <v>-2390.9378292939937</v>
      </c>
      <c r="CR19" s="144"/>
      <c r="CS19"/>
      <c r="CU19" s="232">
        <v>68.673423082740882</v>
      </c>
      <c r="CV19" s="143">
        <v>653.31928345626977</v>
      </c>
      <c r="CW19" s="146">
        <v>24.903708594695718</v>
      </c>
      <c r="CX19" s="143">
        <v>9575.3424657534251</v>
      </c>
      <c r="CY19" s="131">
        <v>3726</v>
      </c>
      <c r="CZ19" s="229">
        <v>1419</v>
      </c>
      <c r="DA19" s="229">
        <v>8347</v>
      </c>
      <c r="DB19" s="216">
        <v>-6928</v>
      </c>
      <c r="DC19" s="229">
        <v>3605</v>
      </c>
      <c r="DD19" s="229">
        <v>3843</v>
      </c>
      <c r="DE19" s="151"/>
      <c r="DG19" s="229">
        <v>-13</v>
      </c>
      <c r="DH19" s="229">
        <v>0</v>
      </c>
      <c r="DI19" s="229">
        <v>507</v>
      </c>
      <c r="DJ19" s="229">
        <v>509</v>
      </c>
      <c r="DK19" s="229">
        <v>0</v>
      </c>
      <c r="DL19" s="229">
        <v>0</v>
      </c>
      <c r="DM19" s="229">
        <v>-2</v>
      </c>
      <c r="DN19" s="131">
        <v>92</v>
      </c>
      <c r="DO19" s="131">
        <v>0</v>
      </c>
      <c r="DP19" s="130">
        <v>0</v>
      </c>
      <c r="DQ19" s="130">
        <v>90</v>
      </c>
      <c r="DR19" s="130">
        <v>3138</v>
      </c>
      <c r="DS19" s="130">
        <v>507</v>
      </c>
      <c r="DT19" s="167"/>
      <c r="DU19" s="183">
        <v>34</v>
      </c>
      <c r="DV19" s="183">
        <v>-336</v>
      </c>
      <c r="DW19" s="180">
        <v>166</v>
      </c>
      <c r="DX19" s="130">
        <v>3605</v>
      </c>
      <c r="DY19" s="229">
        <v>3176</v>
      </c>
      <c r="DZ19" s="229">
        <v>121</v>
      </c>
      <c r="EA19" s="229">
        <v>308</v>
      </c>
      <c r="EB19" s="212">
        <v>20.5</v>
      </c>
      <c r="EC19" s="208"/>
      <c r="ED19" s="183">
        <v>213.183823529411</v>
      </c>
      <c r="EE19" s="3">
        <v>3593</v>
      </c>
      <c r="EF19" s="183">
        <v>3566</v>
      </c>
      <c r="EG19" s="130">
        <v>3413</v>
      </c>
      <c r="EH19" s="130"/>
      <c r="EI19" s="130"/>
      <c r="EJ19" s="130"/>
      <c r="EK19" s="183">
        <v>-1438</v>
      </c>
      <c r="EL19" s="183">
        <v>0</v>
      </c>
      <c r="EM19" s="183">
        <v>633</v>
      </c>
      <c r="EN19" s="226">
        <v>-1864</v>
      </c>
      <c r="EO19" s="226">
        <v>8</v>
      </c>
      <c r="EP19" s="226">
        <v>4</v>
      </c>
      <c r="EQ19" s="226">
        <v>-383</v>
      </c>
      <c r="ER19" s="230">
        <v>31</v>
      </c>
      <c r="ES19" s="230">
        <v>11</v>
      </c>
      <c r="ET19" s="3">
        <v>0</v>
      </c>
      <c r="EU19" s="211">
        <v>0</v>
      </c>
      <c r="EV19" s="183">
        <v>900</v>
      </c>
      <c r="EW19" s="183">
        <v>0</v>
      </c>
      <c r="EX19" s="130">
        <v>0</v>
      </c>
      <c r="EY19" s="183">
        <v>0</v>
      </c>
      <c r="EZ19" s="3">
        <v>1956</v>
      </c>
      <c r="FA19" s="3">
        <v>1680</v>
      </c>
      <c r="FB19" s="3">
        <v>276</v>
      </c>
      <c r="FC19" s="3">
        <v>0</v>
      </c>
      <c r="FD19" s="226">
        <v>2580</v>
      </c>
      <c r="FE19" s="183">
        <v>2244</v>
      </c>
      <c r="FF19" s="183">
        <v>336</v>
      </c>
      <c r="FG19" s="183">
        <v>0</v>
      </c>
      <c r="FH19" s="230">
        <v>2244</v>
      </c>
      <c r="FI19" s="130">
        <v>1908</v>
      </c>
      <c r="FJ19" s="130">
        <v>336</v>
      </c>
      <c r="FK19" s="130">
        <v>0</v>
      </c>
      <c r="FL19" s="29">
        <v>2798.7679671457904</v>
      </c>
      <c r="FM19" s="139">
        <v>3734.0980187695518</v>
      </c>
      <c r="FN19" s="139">
        <v>4181.2434141201256</v>
      </c>
      <c r="FO19" s="172">
        <f t="shared" si="0"/>
        <v>154.92682926829269</v>
      </c>
      <c r="FP19" s="170">
        <f t="shared" si="1"/>
        <v>163.25271788018196</v>
      </c>
      <c r="FR19" s="175"/>
      <c r="FS19" s="195"/>
      <c r="FV19" s="175">
        <v>0</v>
      </c>
      <c r="FW19" s="2">
        <f t="shared" si="2"/>
        <v>0</v>
      </c>
      <c r="FZ19" s="186"/>
      <c r="GA19" s="2"/>
      <c r="GB19" s="2"/>
    </row>
    <row r="20" spans="1:184" ht="13" x14ac:dyDescent="0.3">
      <c r="A20" s="77">
        <v>74</v>
      </c>
      <c r="B20" s="75" t="s">
        <v>18</v>
      </c>
      <c r="C20" s="179">
        <v>1165</v>
      </c>
      <c r="D20" s="138"/>
      <c r="E20" s="142">
        <v>2</v>
      </c>
      <c r="F20" s="142">
        <v>57.363554352728912</v>
      </c>
      <c r="G20" s="183">
        <v>-3425.7510729613732</v>
      </c>
      <c r="H20" s="144"/>
      <c r="I20" s="186"/>
      <c r="K20" s="210">
        <v>39.126271693596649</v>
      </c>
      <c r="L20" s="143">
        <v>157.93991416309015</v>
      </c>
      <c r="M20" s="146">
        <v>7.1706171257740765</v>
      </c>
      <c r="N20" s="143">
        <v>8039.4849785407714</v>
      </c>
      <c r="O20" s="138">
        <v>2110</v>
      </c>
      <c r="P20" s="143">
        <v>1130</v>
      </c>
      <c r="Q20" s="184">
        <v>8862</v>
      </c>
      <c r="R20" s="184">
        <v>-7732</v>
      </c>
      <c r="S20" s="139">
        <v>3411</v>
      </c>
      <c r="T20" s="138">
        <v>4327</v>
      </c>
      <c r="U20" s="151"/>
      <c r="W20" s="183">
        <v>-22</v>
      </c>
      <c r="X20" s="183">
        <v>1</v>
      </c>
      <c r="Y20" s="184">
        <v>-15</v>
      </c>
      <c r="Z20" s="130">
        <v>129</v>
      </c>
      <c r="AA20" s="130">
        <v>0</v>
      </c>
      <c r="AB20" s="130">
        <v>53</v>
      </c>
      <c r="AC20" s="184">
        <v>-144</v>
      </c>
      <c r="AD20" s="183">
        <v>0</v>
      </c>
      <c r="AE20" s="183">
        <v>0</v>
      </c>
      <c r="AF20" s="183">
        <v>0</v>
      </c>
      <c r="AG20" s="183">
        <v>-144</v>
      </c>
      <c r="AH20" s="183">
        <v>326</v>
      </c>
      <c r="AI20" s="183">
        <v>-196</v>
      </c>
      <c r="AJ20" s="167"/>
      <c r="AK20" s="183">
        <v>-209</v>
      </c>
      <c r="AL20" s="183">
        <v>-7</v>
      </c>
      <c r="AM20" s="180">
        <v>-505</v>
      </c>
      <c r="AN20" s="139">
        <v>3411</v>
      </c>
      <c r="AO20" s="138">
        <v>2623</v>
      </c>
      <c r="AP20" s="184">
        <v>432</v>
      </c>
      <c r="AQ20" s="138">
        <v>356</v>
      </c>
      <c r="AR20" s="109">
        <v>22</v>
      </c>
      <c r="AS20" s="144"/>
      <c r="AT20" s="139">
        <v>241</v>
      </c>
      <c r="AU20" s="228">
        <v>1127</v>
      </c>
      <c r="AV20" s="138"/>
      <c r="AW20" s="224">
        <v>-0.25990610328638497</v>
      </c>
      <c r="AX20" s="225">
        <v>62.41025074560919</v>
      </c>
      <c r="AY20" s="139">
        <v>-4189.8846495119788</v>
      </c>
      <c r="AZ20" s="144"/>
      <c r="BA20"/>
      <c r="BC20" s="189">
        <v>34.287043498488018</v>
      </c>
      <c r="BD20" s="183">
        <v>364.68500443655722</v>
      </c>
      <c r="BE20" s="140">
        <v>15.293607911102049</v>
      </c>
      <c r="BF20" s="139">
        <v>8703.6379769299019</v>
      </c>
      <c r="BG20" s="184">
        <v>2089</v>
      </c>
      <c r="BH20" s="216">
        <v>1052</v>
      </c>
      <c r="BI20" s="216">
        <v>9229</v>
      </c>
      <c r="BJ20" s="216">
        <v>-8177</v>
      </c>
      <c r="BK20" s="216">
        <v>3852</v>
      </c>
      <c r="BL20" s="216">
        <v>4149</v>
      </c>
      <c r="BM20" s="151"/>
      <c r="BO20" s="216">
        <v>-24</v>
      </c>
      <c r="BP20" s="216">
        <v>2</v>
      </c>
      <c r="BQ20" s="216">
        <v>-198</v>
      </c>
      <c r="BR20" s="216">
        <v>123</v>
      </c>
      <c r="BS20" s="216">
        <v>0</v>
      </c>
      <c r="BT20" s="216">
        <v>0</v>
      </c>
      <c r="BU20" s="216">
        <v>-321</v>
      </c>
      <c r="BV20" s="183">
        <v>0</v>
      </c>
      <c r="BW20" s="183">
        <v>0</v>
      </c>
      <c r="BX20" s="183">
        <v>0</v>
      </c>
      <c r="BY20" s="183">
        <v>-321</v>
      </c>
      <c r="BZ20" s="183">
        <v>5</v>
      </c>
      <c r="CA20" s="183">
        <v>-268</v>
      </c>
      <c r="CB20" s="167"/>
      <c r="CC20" s="183">
        <v>354</v>
      </c>
      <c r="CD20" s="183">
        <v>-7</v>
      </c>
      <c r="CE20" s="180">
        <v>-731</v>
      </c>
      <c r="CF20" s="139">
        <v>3852</v>
      </c>
      <c r="CG20" s="216">
        <v>3017</v>
      </c>
      <c r="CH20" s="216">
        <v>414</v>
      </c>
      <c r="CI20" s="216">
        <v>421</v>
      </c>
      <c r="CJ20" s="212">
        <v>22</v>
      </c>
      <c r="CK20" s="144"/>
      <c r="CL20" s="130">
        <v>268</v>
      </c>
      <c r="CM20" s="228">
        <v>1103</v>
      </c>
      <c r="CN20" s="138"/>
      <c r="CO20" s="142">
        <v>59.823529411764703</v>
      </c>
      <c r="CP20" s="142">
        <v>54.7360883797054</v>
      </c>
      <c r="CQ20" s="183">
        <v>-3742.5203989120582</v>
      </c>
      <c r="CR20" s="144"/>
      <c r="CS20"/>
      <c r="CU20" s="232">
        <v>39.289766280916723</v>
      </c>
      <c r="CV20" s="143">
        <v>316.40979147778785</v>
      </c>
      <c r="CW20" s="146">
        <v>13.855231672830106</v>
      </c>
      <c r="CX20" s="143">
        <v>8335.4487760652773</v>
      </c>
      <c r="CY20" s="131">
        <v>2052</v>
      </c>
      <c r="CZ20" s="229">
        <v>912</v>
      </c>
      <c r="DA20" s="229">
        <v>8764</v>
      </c>
      <c r="DB20" s="216">
        <v>-7852</v>
      </c>
      <c r="DC20" s="229">
        <v>4000</v>
      </c>
      <c r="DD20" s="229">
        <v>4864</v>
      </c>
      <c r="DE20" s="151"/>
      <c r="DG20" s="229">
        <v>-9</v>
      </c>
      <c r="DH20" s="229">
        <v>4</v>
      </c>
      <c r="DI20" s="229">
        <v>1007</v>
      </c>
      <c r="DJ20" s="229">
        <v>492</v>
      </c>
      <c r="DK20" s="229">
        <v>0</v>
      </c>
      <c r="DL20" s="229">
        <v>0</v>
      </c>
      <c r="DM20" s="229">
        <v>515</v>
      </c>
      <c r="DN20" s="130">
        <v>0</v>
      </c>
      <c r="DO20" s="130">
        <v>0</v>
      </c>
      <c r="DP20" s="130">
        <v>0</v>
      </c>
      <c r="DQ20" s="130">
        <v>515</v>
      </c>
      <c r="DR20" s="130">
        <v>520</v>
      </c>
      <c r="DS20" s="130">
        <v>1001</v>
      </c>
      <c r="DT20" s="167"/>
      <c r="DU20" s="183">
        <v>-401</v>
      </c>
      <c r="DV20" s="183">
        <v>-7</v>
      </c>
      <c r="DW20" s="180">
        <v>594</v>
      </c>
      <c r="DX20" s="130">
        <v>4000</v>
      </c>
      <c r="DY20" s="229">
        <v>3206</v>
      </c>
      <c r="DZ20" s="229">
        <v>440</v>
      </c>
      <c r="EA20" s="229">
        <v>354</v>
      </c>
      <c r="EB20" s="212">
        <v>23.5</v>
      </c>
      <c r="EC20" s="208"/>
      <c r="ED20" s="183">
        <v>59.058823529411796</v>
      </c>
      <c r="EE20" s="3">
        <v>5620</v>
      </c>
      <c r="EF20" s="183">
        <v>5999</v>
      </c>
      <c r="EG20" s="130">
        <v>5548</v>
      </c>
      <c r="EH20" s="130"/>
      <c r="EI20" s="130"/>
      <c r="EJ20" s="130">
        <v>160</v>
      </c>
      <c r="EK20" s="183">
        <v>-526</v>
      </c>
      <c r="EL20" s="183">
        <v>0</v>
      </c>
      <c r="EM20" s="183">
        <v>217</v>
      </c>
      <c r="EN20" s="226">
        <v>-548</v>
      </c>
      <c r="EO20" s="226">
        <v>14</v>
      </c>
      <c r="EP20" s="226">
        <v>71</v>
      </c>
      <c r="EQ20" s="226">
        <v>-413</v>
      </c>
      <c r="ER20" s="230">
        <v>0</v>
      </c>
      <c r="ES20" s="230">
        <v>6</v>
      </c>
      <c r="ET20" s="3">
        <v>0</v>
      </c>
      <c r="EU20" s="211">
        <v>450</v>
      </c>
      <c r="EV20" s="183">
        <v>0</v>
      </c>
      <c r="EW20" s="183">
        <v>550</v>
      </c>
      <c r="EX20" s="130">
        <v>0</v>
      </c>
      <c r="EY20" s="183">
        <v>-250</v>
      </c>
      <c r="EZ20" s="3">
        <v>4396</v>
      </c>
      <c r="FA20" s="3">
        <v>989</v>
      </c>
      <c r="FB20" s="3">
        <v>3407</v>
      </c>
      <c r="FC20" s="3">
        <v>95</v>
      </c>
      <c r="FD20" s="226">
        <v>4939</v>
      </c>
      <c r="FE20" s="183">
        <v>982</v>
      </c>
      <c r="FF20" s="183">
        <v>3957</v>
      </c>
      <c r="FG20" s="183">
        <v>95</v>
      </c>
      <c r="FH20" s="230">
        <v>4682</v>
      </c>
      <c r="FI20" s="130">
        <v>975</v>
      </c>
      <c r="FJ20" s="130">
        <v>3707</v>
      </c>
      <c r="FK20" s="130">
        <v>95</v>
      </c>
      <c r="FL20" s="29">
        <v>12171.673819742489</v>
      </c>
      <c r="FM20" s="139">
        <v>12808.340727595387</v>
      </c>
      <c r="FN20" s="139">
        <v>12410.698096101542</v>
      </c>
      <c r="FO20" s="172">
        <f t="shared" si="0"/>
        <v>136.42553191489361</v>
      </c>
      <c r="FP20" s="170">
        <f t="shared" si="1"/>
        <v>123.68588568893347</v>
      </c>
      <c r="FR20" s="175"/>
      <c r="FS20" s="195"/>
      <c r="FV20" s="175">
        <v>188</v>
      </c>
      <c r="FW20" s="2">
        <f t="shared" si="2"/>
        <v>-188</v>
      </c>
      <c r="FZ20" s="186"/>
      <c r="GA20" s="2"/>
      <c r="GB20" s="2"/>
    </row>
    <row r="21" spans="1:184" ht="13" x14ac:dyDescent="0.3">
      <c r="A21" s="77">
        <v>75</v>
      </c>
      <c r="B21" s="75" t="s">
        <v>19</v>
      </c>
      <c r="C21" s="179">
        <v>20286</v>
      </c>
      <c r="D21" s="138"/>
      <c r="E21" s="142">
        <v>0.68009352037408155</v>
      </c>
      <c r="F21" s="142">
        <v>74.088699878493316</v>
      </c>
      <c r="G21" s="183">
        <v>-4571.083505866115</v>
      </c>
      <c r="H21" s="144"/>
      <c r="I21" s="186"/>
      <c r="K21" s="210">
        <v>46.922434000691695</v>
      </c>
      <c r="L21" s="143">
        <v>596.02681652371098</v>
      </c>
      <c r="M21" s="146">
        <v>25.724332295783352</v>
      </c>
      <c r="N21" s="143">
        <v>8456.9653948535943</v>
      </c>
      <c r="O21" s="138">
        <v>58562</v>
      </c>
      <c r="P21" s="143">
        <v>29958</v>
      </c>
      <c r="Q21" s="184">
        <v>141148</v>
      </c>
      <c r="R21" s="184">
        <v>-111190</v>
      </c>
      <c r="S21" s="139">
        <v>81202</v>
      </c>
      <c r="T21" s="138">
        <v>37357</v>
      </c>
      <c r="U21" s="151"/>
      <c r="W21" s="183">
        <v>-244</v>
      </c>
      <c r="X21" s="183">
        <v>2245</v>
      </c>
      <c r="Y21" s="184">
        <v>9370</v>
      </c>
      <c r="Z21" s="130">
        <v>8918</v>
      </c>
      <c r="AA21" s="130">
        <v>0</v>
      </c>
      <c r="AB21" s="130">
        <v>0</v>
      </c>
      <c r="AC21" s="184">
        <v>452</v>
      </c>
      <c r="AD21" s="184">
        <v>0</v>
      </c>
      <c r="AE21" s="183">
        <v>0</v>
      </c>
      <c r="AF21" s="183">
        <v>0</v>
      </c>
      <c r="AG21" s="183">
        <v>452</v>
      </c>
      <c r="AH21" s="183">
        <v>6576</v>
      </c>
      <c r="AI21" s="183">
        <v>9488</v>
      </c>
      <c r="AJ21" s="167"/>
      <c r="AK21" s="183">
        <v>-66</v>
      </c>
      <c r="AL21" s="183">
        <v>-14159</v>
      </c>
      <c r="AM21" s="180">
        <v>-4842</v>
      </c>
      <c r="AN21" s="139">
        <v>81202</v>
      </c>
      <c r="AO21" s="138">
        <v>69190</v>
      </c>
      <c r="AP21" s="184">
        <v>5404</v>
      </c>
      <c r="AQ21" s="138">
        <v>6608</v>
      </c>
      <c r="AR21" s="109">
        <v>21</v>
      </c>
      <c r="AS21" s="144"/>
      <c r="AT21" s="139">
        <v>55</v>
      </c>
      <c r="AU21" s="228">
        <v>20111</v>
      </c>
      <c r="AV21" s="138"/>
      <c r="AW21" s="224">
        <v>0.87030515237261563</v>
      </c>
      <c r="AX21" s="225">
        <v>68.65713957836897</v>
      </c>
      <c r="AY21" s="139">
        <v>-4744.4184774501518</v>
      </c>
      <c r="AZ21" s="144"/>
      <c r="BA21"/>
      <c r="BC21" s="189">
        <v>48.58124283328975</v>
      </c>
      <c r="BD21" s="183">
        <v>174.48162697031475</v>
      </c>
      <c r="BE21" s="140">
        <v>7.468003475157869</v>
      </c>
      <c r="BF21" s="139">
        <v>8527.8205956938982</v>
      </c>
      <c r="BG21" s="184">
        <v>35340</v>
      </c>
      <c r="BH21" s="216">
        <v>24531</v>
      </c>
      <c r="BI21" s="216">
        <v>140655</v>
      </c>
      <c r="BJ21" s="216">
        <v>-115782</v>
      </c>
      <c r="BK21" s="216">
        <v>85455</v>
      </c>
      <c r="BL21" s="216">
        <v>38153</v>
      </c>
      <c r="BM21" s="151"/>
      <c r="BO21" s="216">
        <v>-33</v>
      </c>
      <c r="BP21" s="216">
        <v>2279</v>
      </c>
      <c r="BQ21" s="216">
        <v>10072</v>
      </c>
      <c r="BR21" s="216">
        <v>11140</v>
      </c>
      <c r="BS21" s="216">
        <v>0</v>
      </c>
      <c r="BT21" s="216">
        <v>0</v>
      </c>
      <c r="BU21" s="216">
        <v>-1068</v>
      </c>
      <c r="BV21" s="184">
        <v>0</v>
      </c>
      <c r="BW21" s="183">
        <v>0</v>
      </c>
      <c r="BX21" s="183">
        <v>0</v>
      </c>
      <c r="BY21" s="183">
        <v>-1068</v>
      </c>
      <c r="BZ21" s="183">
        <v>5507</v>
      </c>
      <c r="CA21" s="183">
        <v>9663</v>
      </c>
      <c r="CB21" s="167"/>
      <c r="CC21" s="183">
        <v>2150</v>
      </c>
      <c r="CD21" s="183">
        <v>-16895</v>
      </c>
      <c r="CE21" s="180">
        <v>-2304</v>
      </c>
      <c r="CF21" s="139">
        <v>85455</v>
      </c>
      <c r="CG21" s="216">
        <v>71246</v>
      </c>
      <c r="CH21" s="216">
        <v>7415</v>
      </c>
      <c r="CI21" s="216">
        <v>6794</v>
      </c>
      <c r="CJ21" s="212">
        <v>21</v>
      </c>
      <c r="CK21" s="144"/>
      <c r="CL21" s="130">
        <v>34</v>
      </c>
      <c r="CM21" s="228">
        <v>19877</v>
      </c>
      <c r="CN21" s="138"/>
      <c r="CO21" s="142">
        <v>0.70586211641667818</v>
      </c>
      <c r="CP21" s="142">
        <v>61.568685504215935</v>
      </c>
      <c r="CQ21" s="183">
        <v>-4331.4886552296621</v>
      </c>
      <c r="CR21" s="144"/>
      <c r="CS21"/>
      <c r="CU21" s="232">
        <v>50.685152498623999</v>
      </c>
      <c r="CV21" s="143">
        <v>513.15590883936204</v>
      </c>
      <c r="CW21" s="146">
        <v>18.974374655984345</v>
      </c>
      <c r="CX21" s="143">
        <v>9871.3085475675398</v>
      </c>
      <c r="CY21" s="131">
        <v>34495</v>
      </c>
      <c r="CZ21" s="229">
        <v>26458</v>
      </c>
      <c r="DA21" s="229">
        <v>144562</v>
      </c>
      <c r="DB21" s="216">
        <v>-118104</v>
      </c>
      <c r="DC21" s="229">
        <v>89199</v>
      </c>
      <c r="DD21" s="229">
        <v>46900</v>
      </c>
      <c r="DE21" s="151"/>
      <c r="DG21" s="229">
        <v>-259</v>
      </c>
      <c r="DH21" s="229">
        <v>2220</v>
      </c>
      <c r="DI21" s="229">
        <v>19956</v>
      </c>
      <c r="DJ21" s="229">
        <v>9728</v>
      </c>
      <c r="DK21" s="229">
        <v>0</v>
      </c>
      <c r="DL21" s="229">
        <v>0</v>
      </c>
      <c r="DM21" s="229">
        <v>10228</v>
      </c>
      <c r="DN21" s="131">
        <v>0</v>
      </c>
      <c r="DO21" s="130">
        <v>-1500</v>
      </c>
      <c r="DP21" s="130">
        <v>0</v>
      </c>
      <c r="DQ21" s="130">
        <v>8728</v>
      </c>
      <c r="DR21" s="130">
        <v>14236</v>
      </c>
      <c r="DS21" s="130">
        <v>23443</v>
      </c>
      <c r="DT21" s="167"/>
      <c r="DU21" s="183">
        <v>-736</v>
      </c>
      <c r="DV21" s="183">
        <v>-28506</v>
      </c>
      <c r="DW21" s="180">
        <v>2729</v>
      </c>
      <c r="DX21" s="130">
        <v>89199</v>
      </c>
      <c r="DY21" s="229">
        <v>74460</v>
      </c>
      <c r="DZ21" s="229">
        <v>8528</v>
      </c>
      <c r="EA21" s="229">
        <v>6211</v>
      </c>
      <c r="EB21" s="212">
        <v>21</v>
      </c>
      <c r="EC21" s="208"/>
      <c r="ED21" s="183">
        <v>35.889705882352999</v>
      </c>
      <c r="EE21" s="3">
        <v>60359</v>
      </c>
      <c r="EF21" s="183">
        <v>93085</v>
      </c>
      <c r="EG21" s="130">
        <v>97229</v>
      </c>
      <c r="EH21" s="130"/>
      <c r="EI21" s="130"/>
      <c r="EJ21" s="130"/>
      <c r="EK21" s="183">
        <v>-15636</v>
      </c>
      <c r="EL21" s="183">
        <v>567</v>
      </c>
      <c r="EM21" s="183">
        <v>739</v>
      </c>
      <c r="EN21" s="226">
        <v>-13086</v>
      </c>
      <c r="EO21" s="226">
        <v>129</v>
      </c>
      <c r="EP21" s="226">
        <v>990</v>
      </c>
      <c r="EQ21" s="226">
        <v>-21782</v>
      </c>
      <c r="ER21" s="230">
        <v>63</v>
      </c>
      <c r="ES21" s="230">
        <v>1005</v>
      </c>
      <c r="ET21" s="3">
        <v>15000</v>
      </c>
      <c r="EU21" s="211">
        <v>-2994</v>
      </c>
      <c r="EV21" s="183">
        <v>17600</v>
      </c>
      <c r="EW21" s="183">
        <v>2620</v>
      </c>
      <c r="EX21" s="130">
        <v>28530</v>
      </c>
      <c r="EY21" s="183">
        <v>-2616</v>
      </c>
      <c r="EZ21" s="3">
        <v>83868</v>
      </c>
      <c r="FA21" s="3">
        <v>63449</v>
      </c>
      <c r="FB21" s="3">
        <v>20419</v>
      </c>
      <c r="FC21" s="3">
        <v>15926</v>
      </c>
      <c r="FD21" s="226">
        <v>87192</v>
      </c>
      <c r="FE21" s="183">
        <v>69298</v>
      </c>
      <c r="FF21" s="183">
        <v>17894</v>
      </c>
      <c r="FG21" s="183">
        <v>16138</v>
      </c>
      <c r="FH21" s="230">
        <v>84601</v>
      </c>
      <c r="FI21" s="130">
        <v>61303</v>
      </c>
      <c r="FJ21" s="130">
        <v>23298</v>
      </c>
      <c r="FK21" s="130">
        <v>9487</v>
      </c>
      <c r="FL21" s="29">
        <v>7567.3863748397907</v>
      </c>
      <c r="FM21" s="139">
        <v>7896.5242901894489</v>
      </c>
      <c r="FN21" s="139">
        <v>8526.0351159631737</v>
      </c>
      <c r="FO21" s="172">
        <f t="shared" si="0"/>
        <v>3545.7142857142858</v>
      </c>
      <c r="FP21" s="170">
        <f t="shared" si="1"/>
        <v>178.38276831082587</v>
      </c>
      <c r="FR21" s="175"/>
      <c r="FS21" s="195"/>
      <c r="FV21" s="175">
        <v>9905</v>
      </c>
      <c r="FW21" s="2">
        <f t="shared" si="2"/>
        <v>-9905</v>
      </c>
      <c r="FZ21" s="186"/>
      <c r="GA21" s="2"/>
      <c r="GB21" s="2"/>
    </row>
    <row r="22" spans="1:184" ht="13" x14ac:dyDescent="0.3">
      <c r="A22" s="77">
        <v>77</v>
      </c>
      <c r="B22" s="75" t="s">
        <v>20</v>
      </c>
      <c r="C22" s="179">
        <v>4939</v>
      </c>
      <c r="D22" s="138"/>
      <c r="E22" s="142">
        <v>1.6251673360107095</v>
      </c>
      <c r="F22" s="142">
        <v>46.237631165723684</v>
      </c>
      <c r="G22" s="183">
        <v>-2479.4492812310182</v>
      </c>
      <c r="H22" s="144"/>
      <c r="I22" s="186"/>
      <c r="K22" s="210">
        <v>48.947917811229537</v>
      </c>
      <c r="L22" s="143">
        <v>832.96213808463244</v>
      </c>
      <c r="M22" s="146">
        <v>36.375330054988979</v>
      </c>
      <c r="N22" s="143">
        <v>8358.1696699736785</v>
      </c>
      <c r="O22" s="138">
        <v>15779</v>
      </c>
      <c r="P22" s="143">
        <v>6723</v>
      </c>
      <c r="Q22" s="184">
        <v>39080</v>
      </c>
      <c r="R22" s="184">
        <v>-32357</v>
      </c>
      <c r="S22" s="139">
        <v>14586</v>
      </c>
      <c r="T22" s="138">
        <v>18812</v>
      </c>
      <c r="U22" s="151"/>
      <c r="W22" s="183">
        <v>-61</v>
      </c>
      <c r="X22" s="183">
        <v>173</v>
      </c>
      <c r="Y22" s="184">
        <v>1153</v>
      </c>
      <c r="Z22" s="130">
        <v>1661</v>
      </c>
      <c r="AA22" s="130">
        <v>0</v>
      </c>
      <c r="AB22" s="130">
        <v>0</v>
      </c>
      <c r="AC22" s="184">
        <v>-508</v>
      </c>
      <c r="AD22" s="184">
        <v>22</v>
      </c>
      <c r="AE22" s="183">
        <v>0</v>
      </c>
      <c r="AF22" s="183">
        <v>0</v>
      </c>
      <c r="AG22" s="183">
        <v>-486</v>
      </c>
      <c r="AH22" s="183">
        <v>-872</v>
      </c>
      <c r="AI22" s="183">
        <v>-154</v>
      </c>
      <c r="AJ22" s="167"/>
      <c r="AK22" s="183">
        <v>-24</v>
      </c>
      <c r="AL22" s="183">
        <v>-686</v>
      </c>
      <c r="AM22" s="180">
        <v>-164</v>
      </c>
      <c r="AN22" s="139">
        <v>14586</v>
      </c>
      <c r="AO22" s="138">
        <v>12406</v>
      </c>
      <c r="AP22" s="184">
        <v>873</v>
      </c>
      <c r="AQ22" s="138">
        <v>1307</v>
      </c>
      <c r="AR22" s="109">
        <v>22</v>
      </c>
      <c r="AS22" s="144"/>
      <c r="AT22" s="139">
        <v>148</v>
      </c>
      <c r="AU22" s="228">
        <v>4875</v>
      </c>
      <c r="AV22" s="138"/>
      <c r="AW22" s="224">
        <v>0.11204481792717087</v>
      </c>
      <c r="AX22" s="225">
        <v>44.873988203150937</v>
      </c>
      <c r="AY22" s="139">
        <v>-2919.3846153846152</v>
      </c>
      <c r="AZ22" s="144"/>
      <c r="BA22"/>
      <c r="BC22" s="189">
        <v>48.125866289185765</v>
      </c>
      <c r="BD22" s="183">
        <v>230.35897435897436</v>
      </c>
      <c r="BE22" s="140">
        <v>9.7267506703685243</v>
      </c>
      <c r="BF22" s="139">
        <v>8644.3076923076915</v>
      </c>
      <c r="BG22" s="184">
        <v>15590</v>
      </c>
      <c r="BH22" s="216">
        <v>5265</v>
      </c>
      <c r="BI22" s="216">
        <v>39124</v>
      </c>
      <c r="BJ22" s="216">
        <v>-33859</v>
      </c>
      <c r="BK22" s="216">
        <v>15412</v>
      </c>
      <c r="BL22" s="216">
        <v>18486</v>
      </c>
      <c r="BM22" s="151"/>
      <c r="BO22" s="216">
        <v>-61</v>
      </c>
      <c r="BP22" s="216">
        <v>176</v>
      </c>
      <c r="BQ22" s="216">
        <v>154</v>
      </c>
      <c r="BR22" s="216">
        <v>1654</v>
      </c>
      <c r="BS22" s="216">
        <v>0</v>
      </c>
      <c r="BT22" s="216">
        <v>0</v>
      </c>
      <c r="BU22" s="216">
        <v>-1500</v>
      </c>
      <c r="BV22" s="184">
        <v>22</v>
      </c>
      <c r="BW22" s="183">
        <v>0</v>
      </c>
      <c r="BX22" s="183">
        <v>0</v>
      </c>
      <c r="BY22" s="183">
        <v>-1478</v>
      </c>
      <c r="BZ22" s="183">
        <v>-2350</v>
      </c>
      <c r="CA22" s="183">
        <v>181</v>
      </c>
      <c r="CB22" s="167"/>
      <c r="CC22" s="183">
        <v>-30</v>
      </c>
      <c r="CD22" s="183">
        <v>-726</v>
      </c>
      <c r="CE22" s="180">
        <v>-1967</v>
      </c>
      <c r="CF22" s="139">
        <v>15412</v>
      </c>
      <c r="CG22" s="216">
        <v>13140</v>
      </c>
      <c r="CH22" s="216">
        <v>949</v>
      </c>
      <c r="CI22" s="216">
        <v>1323</v>
      </c>
      <c r="CJ22" s="212">
        <v>22</v>
      </c>
      <c r="CK22" s="144"/>
      <c r="CL22" s="130">
        <v>217</v>
      </c>
      <c r="CM22" s="228">
        <v>4782</v>
      </c>
      <c r="CN22" s="138"/>
      <c r="CO22" s="142">
        <v>4.5626262626262628</v>
      </c>
      <c r="CP22" s="142">
        <v>25.533245160514607</v>
      </c>
      <c r="CQ22" s="183">
        <v>-1607.4864073609369</v>
      </c>
      <c r="CR22" s="144"/>
      <c r="CS22"/>
      <c r="CU22" s="232">
        <v>63.656111054542983</v>
      </c>
      <c r="CV22" s="143">
        <v>201.38017565872019</v>
      </c>
      <c r="CW22" s="146">
        <v>8.6926253833217917</v>
      </c>
      <c r="CX22" s="143">
        <v>8455.876202425763</v>
      </c>
      <c r="CY22" s="131">
        <v>14940</v>
      </c>
      <c r="CZ22" s="229">
        <v>5573</v>
      </c>
      <c r="DA22" s="229">
        <v>37257</v>
      </c>
      <c r="DB22" s="216">
        <v>-31684</v>
      </c>
      <c r="DC22" s="229">
        <v>15424</v>
      </c>
      <c r="DD22" s="229">
        <v>20588</v>
      </c>
      <c r="DE22" s="151"/>
      <c r="DG22" s="229">
        <v>-59</v>
      </c>
      <c r="DH22" s="229">
        <v>189</v>
      </c>
      <c r="DI22" s="229">
        <v>4458</v>
      </c>
      <c r="DJ22" s="229">
        <v>2667</v>
      </c>
      <c r="DK22" s="229">
        <v>645</v>
      </c>
      <c r="DL22" s="229">
        <v>0</v>
      </c>
      <c r="DM22" s="229">
        <v>2436</v>
      </c>
      <c r="DN22" s="131">
        <v>0</v>
      </c>
      <c r="DO22" s="130">
        <v>0</v>
      </c>
      <c r="DP22" s="130">
        <v>0</v>
      </c>
      <c r="DQ22" s="130">
        <v>2436</v>
      </c>
      <c r="DR22" s="130">
        <v>86</v>
      </c>
      <c r="DS22" s="130">
        <v>4257</v>
      </c>
      <c r="DT22" s="167"/>
      <c r="DU22" s="183">
        <v>251</v>
      </c>
      <c r="DV22" s="183">
        <v>-931</v>
      </c>
      <c r="DW22" s="180">
        <v>6494</v>
      </c>
      <c r="DX22" s="130">
        <v>15424</v>
      </c>
      <c r="DY22" s="229">
        <v>13086</v>
      </c>
      <c r="DZ22" s="229">
        <v>1057</v>
      </c>
      <c r="EA22" s="229">
        <v>1281</v>
      </c>
      <c r="EB22" s="212">
        <v>22</v>
      </c>
      <c r="EC22" s="208"/>
      <c r="ED22" s="183">
        <v>53.014705882352999</v>
      </c>
      <c r="EE22" s="3">
        <v>18935</v>
      </c>
      <c r="EF22" s="183">
        <v>19217</v>
      </c>
      <c r="EG22" s="130">
        <v>17914</v>
      </c>
      <c r="EH22" s="130"/>
      <c r="EI22" s="130"/>
      <c r="EJ22" s="130">
        <v>670</v>
      </c>
      <c r="EK22" s="183">
        <v>-1445</v>
      </c>
      <c r="EL22" s="183">
        <v>0</v>
      </c>
      <c r="EM22" s="183">
        <v>1435</v>
      </c>
      <c r="EN22" s="226">
        <v>-2173</v>
      </c>
      <c r="EO22" s="226">
        <v>0</v>
      </c>
      <c r="EP22" s="226">
        <v>25</v>
      </c>
      <c r="EQ22" s="226">
        <v>-2189</v>
      </c>
      <c r="ER22" s="230">
        <v>505</v>
      </c>
      <c r="ES22" s="230">
        <v>3921</v>
      </c>
      <c r="ET22" s="3">
        <v>0</v>
      </c>
      <c r="EU22" s="211">
        <v>1000</v>
      </c>
      <c r="EV22" s="183">
        <v>4000</v>
      </c>
      <c r="EW22" s="183">
        <v>-2000</v>
      </c>
      <c r="EX22" s="130">
        <v>0</v>
      </c>
      <c r="EY22" s="183">
        <v>-6000</v>
      </c>
      <c r="EZ22" s="3">
        <v>11916</v>
      </c>
      <c r="FA22" s="3">
        <v>3390</v>
      </c>
      <c r="FB22" s="3">
        <v>8526</v>
      </c>
      <c r="FC22" s="3">
        <v>0</v>
      </c>
      <c r="FD22" s="226">
        <v>13189</v>
      </c>
      <c r="FE22" s="183">
        <v>6258</v>
      </c>
      <c r="FF22" s="183">
        <v>6931</v>
      </c>
      <c r="FG22" s="183">
        <v>0</v>
      </c>
      <c r="FH22" s="230">
        <v>6258</v>
      </c>
      <c r="FI22" s="130">
        <v>5501</v>
      </c>
      <c r="FJ22" s="130">
        <v>757</v>
      </c>
      <c r="FK22" s="130">
        <v>0</v>
      </c>
      <c r="FL22" s="29">
        <v>4444.4219477627048</v>
      </c>
      <c r="FM22" s="139">
        <v>5201.2307692307695</v>
      </c>
      <c r="FN22" s="139">
        <v>4111.8778753659553</v>
      </c>
      <c r="FO22" s="172">
        <f t="shared" si="0"/>
        <v>594.81818181818187</v>
      </c>
      <c r="FP22" s="170">
        <f t="shared" si="1"/>
        <v>124.38690544085777</v>
      </c>
      <c r="FR22" s="175"/>
      <c r="FS22" s="195"/>
      <c r="FV22" s="175">
        <v>985</v>
      </c>
      <c r="FW22" s="2">
        <f t="shared" si="2"/>
        <v>-985</v>
      </c>
      <c r="FZ22" s="186"/>
      <c r="GA22" s="2"/>
      <c r="GB22" s="2"/>
    </row>
    <row r="23" spans="1:184" ht="13" x14ac:dyDescent="0.3">
      <c r="A23" s="77">
        <v>78</v>
      </c>
      <c r="B23" s="75" t="s">
        <v>21</v>
      </c>
      <c r="C23" s="179">
        <v>8379</v>
      </c>
      <c r="D23" s="138"/>
      <c r="E23" s="142">
        <v>0.87885847408270235</v>
      </c>
      <c r="F23" s="142">
        <v>103.16261470623287</v>
      </c>
      <c r="G23" s="183">
        <v>-7629.4307196562831</v>
      </c>
      <c r="H23" s="144"/>
      <c r="I23" s="186"/>
      <c r="K23" s="210">
        <v>38.30902848596098</v>
      </c>
      <c r="L23" s="143">
        <v>247.40422484783386</v>
      </c>
      <c r="M23" s="146">
        <v>10.192838764430913</v>
      </c>
      <c r="N23" s="143">
        <v>8859.4104308390015</v>
      </c>
      <c r="O23" s="138">
        <v>27512</v>
      </c>
      <c r="P23" s="143">
        <v>16376</v>
      </c>
      <c r="Q23" s="184">
        <v>65760</v>
      </c>
      <c r="R23" s="184">
        <v>-49384</v>
      </c>
      <c r="S23" s="139">
        <v>38680</v>
      </c>
      <c r="T23" s="138">
        <v>12372</v>
      </c>
      <c r="U23" s="151"/>
      <c r="W23" s="183">
        <v>991</v>
      </c>
      <c r="X23" s="183">
        <v>1088</v>
      </c>
      <c r="Y23" s="184">
        <v>3747</v>
      </c>
      <c r="Z23" s="130">
        <v>3600</v>
      </c>
      <c r="AA23" s="130">
        <v>0</v>
      </c>
      <c r="AB23" s="130">
        <v>0</v>
      </c>
      <c r="AC23" s="184">
        <v>147</v>
      </c>
      <c r="AD23" s="184">
        <v>10</v>
      </c>
      <c r="AE23" s="183">
        <v>0</v>
      </c>
      <c r="AF23" s="183">
        <v>0</v>
      </c>
      <c r="AG23" s="183">
        <v>157</v>
      </c>
      <c r="AH23" s="183">
        <v>6142</v>
      </c>
      <c r="AI23" s="183">
        <v>3333</v>
      </c>
      <c r="AJ23" s="167"/>
      <c r="AK23" s="183">
        <v>206</v>
      </c>
      <c r="AL23" s="183">
        <v>-4371</v>
      </c>
      <c r="AM23" s="180">
        <v>433</v>
      </c>
      <c r="AN23" s="139">
        <v>38680</v>
      </c>
      <c r="AO23" s="138">
        <v>33003</v>
      </c>
      <c r="AP23" s="184">
        <v>2734</v>
      </c>
      <c r="AQ23" s="138">
        <v>2943</v>
      </c>
      <c r="AR23" s="109">
        <v>21.75</v>
      </c>
      <c r="AS23" s="144"/>
      <c r="AT23" s="139">
        <v>59</v>
      </c>
      <c r="AU23" s="228">
        <v>8199</v>
      </c>
      <c r="AV23" s="138"/>
      <c r="AW23" s="224">
        <v>0.43552884485232413</v>
      </c>
      <c r="AX23" s="225">
        <v>107.63553329404832</v>
      </c>
      <c r="AY23" s="139">
        <v>-7875.7165507988775</v>
      </c>
      <c r="AZ23" s="144"/>
      <c r="BA23"/>
      <c r="BC23" s="189">
        <v>37.191056944317609</v>
      </c>
      <c r="BD23" s="183">
        <v>275.03354067569211</v>
      </c>
      <c r="BE23" s="140">
        <v>10.778029489563417</v>
      </c>
      <c r="BF23" s="139">
        <v>9314.0626905720201</v>
      </c>
      <c r="BG23" s="184">
        <v>28636</v>
      </c>
      <c r="BH23" s="216">
        <v>15813</v>
      </c>
      <c r="BI23" s="216">
        <v>68052</v>
      </c>
      <c r="BJ23" s="216">
        <v>-52014</v>
      </c>
      <c r="BK23" s="216">
        <v>39454</v>
      </c>
      <c r="BL23" s="216">
        <v>12613</v>
      </c>
      <c r="BM23" s="151"/>
      <c r="BO23" s="216">
        <v>993</v>
      </c>
      <c r="BP23" s="216">
        <v>2209</v>
      </c>
      <c r="BQ23" s="216">
        <v>3255</v>
      </c>
      <c r="BR23" s="216">
        <v>3535</v>
      </c>
      <c r="BS23" s="216">
        <v>0</v>
      </c>
      <c r="BT23" s="216">
        <v>0</v>
      </c>
      <c r="BU23" s="216">
        <v>-280</v>
      </c>
      <c r="BV23" s="184">
        <v>10</v>
      </c>
      <c r="BW23" s="183">
        <v>0</v>
      </c>
      <c r="BX23" s="183">
        <v>0</v>
      </c>
      <c r="BY23" s="183">
        <v>-270</v>
      </c>
      <c r="BZ23" s="183">
        <v>5871</v>
      </c>
      <c r="CA23" s="183">
        <v>3147</v>
      </c>
      <c r="CB23" s="167"/>
      <c r="CC23" s="183">
        <v>-2986</v>
      </c>
      <c r="CD23" s="183">
        <v>-3763</v>
      </c>
      <c r="CE23" s="180">
        <v>-745</v>
      </c>
      <c r="CF23" s="139">
        <v>39454</v>
      </c>
      <c r="CG23" s="216">
        <v>33381</v>
      </c>
      <c r="CH23" s="216">
        <v>3254</v>
      </c>
      <c r="CI23" s="216">
        <v>2819</v>
      </c>
      <c r="CJ23" s="212">
        <v>21.75</v>
      </c>
      <c r="CK23" s="144"/>
      <c r="CL23" s="130">
        <v>58</v>
      </c>
      <c r="CM23" s="228">
        <v>8042</v>
      </c>
      <c r="CN23" s="138"/>
      <c r="CO23" s="142">
        <v>1.9101417666303162</v>
      </c>
      <c r="CP23" s="142">
        <v>94.430926910163521</v>
      </c>
      <c r="CQ23" s="183">
        <v>-7602.2133797562792</v>
      </c>
      <c r="CR23" s="144"/>
      <c r="CS23"/>
      <c r="CU23" s="232">
        <v>41.509651682244531</v>
      </c>
      <c r="CV23" s="143">
        <v>345.31211141507089</v>
      </c>
      <c r="CW23" s="146">
        <v>13.33322371449994</v>
      </c>
      <c r="CX23" s="143">
        <v>9452.9967669733905</v>
      </c>
      <c r="CY23" s="131">
        <v>28818</v>
      </c>
      <c r="CZ23" s="229">
        <v>17762</v>
      </c>
      <c r="DA23" s="229">
        <v>67029</v>
      </c>
      <c r="DB23" s="216">
        <v>-49267</v>
      </c>
      <c r="DC23" s="229">
        <v>40162</v>
      </c>
      <c r="DD23" s="229">
        <v>15883</v>
      </c>
      <c r="DE23" s="151"/>
      <c r="DG23" s="229">
        <v>1058</v>
      </c>
      <c r="DH23" s="229">
        <v>220</v>
      </c>
      <c r="DI23" s="229">
        <v>8056</v>
      </c>
      <c r="DJ23" s="229">
        <v>3557</v>
      </c>
      <c r="DK23" s="229">
        <v>0</v>
      </c>
      <c r="DL23" s="229">
        <v>0</v>
      </c>
      <c r="DM23" s="229">
        <v>4499</v>
      </c>
      <c r="DN23" s="131">
        <v>10</v>
      </c>
      <c r="DO23" s="130">
        <v>0</v>
      </c>
      <c r="DP23" s="130">
        <v>0</v>
      </c>
      <c r="DQ23" s="130">
        <v>4509</v>
      </c>
      <c r="DR23" s="130">
        <v>11446</v>
      </c>
      <c r="DS23" s="130">
        <v>6141</v>
      </c>
      <c r="DT23" s="167"/>
      <c r="DU23" s="183">
        <v>679</v>
      </c>
      <c r="DV23" s="183">
        <v>-3883</v>
      </c>
      <c r="DW23" s="180">
        <v>3459</v>
      </c>
      <c r="DX23" s="130">
        <v>40162</v>
      </c>
      <c r="DY23" s="229">
        <v>34419</v>
      </c>
      <c r="DZ23" s="229">
        <v>3162</v>
      </c>
      <c r="EA23" s="229">
        <v>2581</v>
      </c>
      <c r="EB23" s="212">
        <v>21.75</v>
      </c>
      <c r="EC23" s="208"/>
      <c r="ED23" s="183">
        <v>37.904411764705898</v>
      </c>
      <c r="EE23" s="3">
        <v>29106</v>
      </c>
      <c r="EF23" s="183">
        <v>30240</v>
      </c>
      <c r="EG23" s="130">
        <v>29149</v>
      </c>
      <c r="EH23" s="130"/>
      <c r="EI23" s="130"/>
      <c r="EJ23" s="130"/>
      <c r="EK23" s="183">
        <v>-3358</v>
      </c>
      <c r="EL23" s="183">
        <v>0</v>
      </c>
      <c r="EM23" s="183">
        <v>458</v>
      </c>
      <c r="EN23" s="226">
        <v>-3993</v>
      </c>
      <c r="EO23" s="226">
        <v>0</v>
      </c>
      <c r="EP23" s="226">
        <v>101</v>
      </c>
      <c r="EQ23" s="226">
        <v>-4645</v>
      </c>
      <c r="ER23" s="230">
        <v>84</v>
      </c>
      <c r="ES23" s="230">
        <v>1879</v>
      </c>
      <c r="ET23" s="3">
        <v>3800</v>
      </c>
      <c r="EU23" s="211">
        <v>-1000</v>
      </c>
      <c r="EV23" s="183">
        <v>4700</v>
      </c>
      <c r="EW23" s="183">
        <v>3000</v>
      </c>
      <c r="EX23" s="130">
        <v>10000</v>
      </c>
      <c r="EY23" s="183">
        <v>-9000</v>
      </c>
      <c r="EZ23" s="3">
        <v>60350</v>
      </c>
      <c r="FA23" s="3">
        <v>20087</v>
      </c>
      <c r="FB23" s="3">
        <v>40263</v>
      </c>
      <c r="FC23" s="3">
        <v>30823</v>
      </c>
      <c r="FD23" s="226">
        <v>64286</v>
      </c>
      <c r="FE23" s="183">
        <v>20903</v>
      </c>
      <c r="FF23" s="183">
        <v>43383</v>
      </c>
      <c r="FG23" s="183">
        <v>30766</v>
      </c>
      <c r="FH23" s="230">
        <v>61403</v>
      </c>
      <c r="FI23" s="130">
        <v>25020</v>
      </c>
      <c r="FJ23" s="130">
        <v>36383</v>
      </c>
      <c r="FK23" s="130">
        <v>30755</v>
      </c>
      <c r="FL23" s="29">
        <v>8482.5158133428813</v>
      </c>
      <c r="FM23" s="139">
        <v>9489.6938651055007</v>
      </c>
      <c r="FN23" s="139">
        <v>9473.3897040537177</v>
      </c>
      <c r="FO23" s="172">
        <f t="shared" si="0"/>
        <v>1582.4827586206898</v>
      </c>
      <c r="FP23" s="170">
        <f t="shared" si="1"/>
        <v>196.77726419058564</v>
      </c>
      <c r="FR23" s="175"/>
      <c r="FS23" s="195"/>
      <c r="FV23" s="175">
        <v>13300</v>
      </c>
      <c r="FW23" s="2">
        <f t="shared" si="2"/>
        <v>-13300</v>
      </c>
      <c r="FZ23" s="186"/>
      <c r="GA23" s="2"/>
      <c r="GB23" s="2"/>
    </row>
    <row r="24" spans="1:184" ht="13" x14ac:dyDescent="0.3">
      <c r="A24" s="77">
        <v>79</v>
      </c>
      <c r="B24" s="75" t="s">
        <v>22</v>
      </c>
      <c r="C24" s="179">
        <v>7018</v>
      </c>
      <c r="D24" s="138"/>
      <c r="E24" s="142">
        <v>-2.2647058823529412E-2</v>
      </c>
      <c r="F24" s="142">
        <v>47.101651084145615</v>
      </c>
      <c r="G24" s="183">
        <v>-2870.4759190652608</v>
      </c>
      <c r="H24" s="144"/>
      <c r="I24" s="186"/>
      <c r="K24" s="210">
        <v>48.206707881868901</v>
      </c>
      <c r="L24" s="143">
        <v>126.67426617269878</v>
      </c>
      <c r="M24" s="146">
        <v>5.7227385760392231</v>
      </c>
      <c r="N24" s="143">
        <v>8079.3673411228274</v>
      </c>
      <c r="O24" s="138">
        <v>15573</v>
      </c>
      <c r="P24" s="143">
        <v>5875</v>
      </c>
      <c r="Q24" s="184">
        <v>50463</v>
      </c>
      <c r="R24" s="184">
        <v>-44588</v>
      </c>
      <c r="S24" s="139">
        <v>33349</v>
      </c>
      <c r="T24" s="138">
        <v>11079</v>
      </c>
      <c r="U24" s="151"/>
      <c r="W24" s="183">
        <v>-106</v>
      </c>
      <c r="X24" s="183">
        <v>75</v>
      </c>
      <c r="Y24" s="184">
        <v>-191</v>
      </c>
      <c r="Z24" s="130">
        <v>2373</v>
      </c>
      <c r="AA24" s="130">
        <v>0</v>
      </c>
      <c r="AB24" s="131">
        <v>0</v>
      </c>
      <c r="AC24" s="184">
        <v>-2564</v>
      </c>
      <c r="AD24" s="183">
        <v>0</v>
      </c>
      <c r="AE24" s="184">
        <v>0</v>
      </c>
      <c r="AF24" s="183">
        <v>0</v>
      </c>
      <c r="AG24" s="183">
        <v>-2564</v>
      </c>
      <c r="AH24" s="183">
        <v>4391</v>
      </c>
      <c r="AI24" s="183">
        <v>-238</v>
      </c>
      <c r="AJ24" s="167"/>
      <c r="AK24" s="183">
        <v>-281</v>
      </c>
      <c r="AL24" s="183">
        <v>-3286</v>
      </c>
      <c r="AM24" s="180">
        <v>-2321</v>
      </c>
      <c r="AN24" s="139">
        <v>33349</v>
      </c>
      <c r="AO24" s="138">
        <v>24048</v>
      </c>
      <c r="AP24" s="184">
        <v>7408</v>
      </c>
      <c r="AQ24" s="138">
        <v>1893</v>
      </c>
      <c r="AR24" s="109">
        <v>20.75</v>
      </c>
      <c r="AS24" s="144"/>
      <c r="AT24" s="139">
        <v>261</v>
      </c>
      <c r="AU24" s="228">
        <v>6931</v>
      </c>
      <c r="AV24" s="138"/>
      <c r="AW24" s="224">
        <v>-0.37941247098375092</v>
      </c>
      <c r="AX24" s="225">
        <v>53.978341351388806</v>
      </c>
      <c r="AY24" s="139">
        <v>-3538.8832780262587</v>
      </c>
      <c r="AZ24" s="144"/>
      <c r="BA24"/>
      <c r="BC24" s="189">
        <v>40.300434726466662</v>
      </c>
      <c r="BD24" s="183">
        <v>113.1149906218439</v>
      </c>
      <c r="BE24" s="140">
        <v>4.7592595672493223</v>
      </c>
      <c r="BF24" s="139">
        <v>8675.0829606117441</v>
      </c>
      <c r="BG24" s="184">
        <v>16471</v>
      </c>
      <c r="BH24" s="216">
        <v>5957</v>
      </c>
      <c r="BI24" s="216">
        <v>51801</v>
      </c>
      <c r="BJ24" s="216">
        <v>-45821</v>
      </c>
      <c r="BK24" s="216">
        <v>34223</v>
      </c>
      <c r="BL24" s="216">
        <v>10331</v>
      </c>
      <c r="BM24" s="151"/>
      <c r="BO24" s="216">
        <v>-70</v>
      </c>
      <c r="BP24" s="216">
        <v>73</v>
      </c>
      <c r="BQ24" s="216">
        <v>-1264</v>
      </c>
      <c r="BR24" s="216">
        <v>2389</v>
      </c>
      <c r="BS24" s="216">
        <v>0</v>
      </c>
      <c r="BT24" s="216">
        <v>0</v>
      </c>
      <c r="BU24" s="216">
        <v>-3653</v>
      </c>
      <c r="BV24" s="183">
        <v>0</v>
      </c>
      <c r="BW24" s="184">
        <v>0</v>
      </c>
      <c r="BX24" s="183">
        <v>0</v>
      </c>
      <c r="BY24" s="183">
        <v>-3653</v>
      </c>
      <c r="BZ24" s="183">
        <v>738</v>
      </c>
      <c r="CA24" s="183">
        <v>-1367</v>
      </c>
      <c r="CB24" s="167"/>
      <c r="CC24" s="183">
        <v>691</v>
      </c>
      <c r="CD24" s="183">
        <v>-4429</v>
      </c>
      <c r="CE24" s="180">
        <v>-4462</v>
      </c>
      <c r="CF24" s="139">
        <v>34223</v>
      </c>
      <c r="CG24" s="216">
        <v>24706</v>
      </c>
      <c r="CH24" s="216">
        <v>7273</v>
      </c>
      <c r="CI24" s="216">
        <v>2244</v>
      </c>
      <c r="CJ24" s="212">
        <v>21.5</v>
      </c>
      <c r="CK24" s="144"/>
      <c r="CL24" s="130">
        <v>269</v>
      </c>
      <c r="CM24" s="228">
        <v>6869</v>
      </c>
      <c r="CN24" s="138"/>
      <c r="CO24" s="142">
        <v>0.92302192564346996</v>
      </c>
      <c r="CP24" s="142">
        <v>48.737047221868117</v>
      </c>
      <c r="CQ24" s="183">
        <v>-3457.5629640413454</v>
      </c>
      <c r="CR24" s="144"/>
      <c r="CS24"/>
      <c r="CU24" s="232">
        <v>42.021682053019397</v>
      </c>
      <c r="CV24" s="143">
        <v>118.79458436453632</v>
      </c>
      <c r="CW24" s="146">
        <v>4.9710423099390804</v>
      </c>
      <c r="CX24" s="143">
        <v>8722.5214732857767</v>
      </c>
      <c r="CY24" s="131">
        <v>15848</v>
      </c>
      <c r="CZ24" s="229">
        <v>6797</v>
      </c>
      <c r="DA24" s="229">
        <v>51130</v>
      </c>
      <c r="DB24" s="216">
        <v>-44333</v>
      </c>
      <c r="DC24" s="229">
        <v>34754</v>
      </c>
      <c r="DD24" s="229">
        <v>13375</v>
      </c>
      <c r="DE24" s="151"/>
      <c r="DG24" s="229">
        <v>-49</v>
      </c>
      <c r="DH24" s="229">
        <v>73</v>
      </c>
      <c r="DI24" s="229">
        <v>3820</v>
      </c>
      <c r="DJ24" s="229">
        <v>2689</v>
      </c>
      <c r="DK24" s="229">
        <v>0</v>
      </c>
      <c r="DL24" s="229">
        <v>0</v>
      </c>
      <c r="DM24" s="229">
        <v>1131</v>
      </c>
      <c r="DN24" s="130">
        <v>0</v>
      </c>
      <c r="DO24" s="131">
        <v>0</v>
      </c>
      <c r="DP24" s="130">
        <v>0</v>
      </c>
      <c r="DQ24" s="130">
        <v>1131</v>
      </c>
      <c r="DR24" s="130">
        <v>1868</v>
      </c>
      <c r="DS24" s="130">
        <v>3746</v>
      </c>
      <c r="DT24" s="167"/>
      <c r="DU24" s="183">
        <v>-243</v>
      </c>
      <c r="DV24" s="183">
        <v>-4143</v>
      </c>
      <c r="DW24" s="180">
        <v>570</v>
      </c>
      <c r="DX24" s="130">
        <v>34754</v>
      </c>
      <c r="DY24" s="229">
        <v>24952</v>
      </c>
      <c r="DZ24" s="229">
        <v>7229</v>
      </c>
      <c r="EA24" s="229">
        <v>2573</v>
      </c>
      <c r="EB24" s="212">
        <v>21.5</v>
      </c>
      <c r="EC24" s="208"/>
      <c r="ED24" s="183">
        <v>205.125</v>
      </c>
      <c r="EE24" s="3">
        <v>30754</v>
      </c>
      <c r="EF24" s="183">
        <v>31361</v>
      </c>
      <c r="EG24" s="130">
        <v>31216</v>
      </c>
      <c r="EH24" s="130"/>
      <c r="EI24" s="130"/>
      <c r="EJ24" s="130"/>
      <c r="EK24" s="183">
        <v>-2860</v>
      </c>
      <c r="EL24" s="183">
        <v>71</v>
      </c>
      <c r="EM24" s="183">
        <v>706</v>
      </c>
      <c r="EN24" s="226">
        <v>-3832</v>
      </c>
      <c r="EO24" s="226">
        <v>0</v>
      </c>
      <c r="EP24" s="226">
        <v>737</v>
      </c>
      <c r="EQ24" s="226">
        <v>-4599</v>
      </c>
      <c r="ER24" s="230">
        <v>62</v>
      </c>
      <c r="ES24" s="230">
        <v>1361</v>
      </c>
      <c r="ET24" s="3">
        <v>6000</v>
      </c>
      <c r="EU24" s="211">
        <v>-1500</v>
      </c>
      <c r="EV24" s="183">
        <v>4000</v>
      </c>
      <c r="EW24" s="183">
        <v>4000</v>
      </c>
      <c r="EX24" s="130">
        <v>6000</v>
      </c>
      <c r="EY24" s="183">
        <v>-3500</v>
      </c>
      <c r="EZ24" s="3">
        <v>17643</v>
      </c>
      <c r="FA24" s="3">
        <v>12500</v>
      </c>
      <c r="FB24" s="3">
        <v>5143</v>
      </c>
      <c r="FC24" s="3">
        <v>25</v>
      </c>
      <c r="FD24" s="226">
        <v>21214</v>
      </c>
      <c r="FE24" s="183">
        <v>12071</v>
      </c>
      <c r="FF24" s="183">
        <v>9143</v>
      </c>
      <c r="FG24" s="183">
        <v>24</v>
      </c>
      <c r="FH24" s="230">
        <v>19572</v>
      </c>
      <c r="FI24" s="130">
        <v>13929</v>
      </c>
      <c r="FJ24" s="130">
        <v>5643</v>
      </c>
      <c r="FK24" s="130">
        <v>21</v>
      </c>
      <c r="FL24" s="29">
        <v>3533.3428327158736</v>
      </c>
      <c r="FM24" s="139">
        <v>4071.1297071129707</v>
      </c>
      <c r="FN24" s="139">
        <v>3821.2257970592514</v>
      </c>
      <c r="FO24" s="172">
        <f t="shared" si="0"/>
        <v>1160.5581395348838</v>
      </c>
      <c r="FP24" s="170">
        <f t="shared" si="1"/>
        <v>168.95590908937018</v>
      </c>
      <c r="FR24" s="175"/>
      <c r="FS24" s="195"/>
      <c r="FV24" s="175">
        <v>0</v>
      </c>
      <c r="FW24" s="2">
        <f t="shared" si="2"/>
        <v>0</v>
      </c>
      <c r="FZ24" s="186"/>
      <c r="GA24" s="2"/>
      <c r="GB24" s="2"/>
    </row>
    <row r="25" spans="1:184" ht="13" x14ac:dyDescent="0.3">
      <c r="A25" s="77">
        <v>81</v>
      </c>
      <c r="B25" s="75" t="s">
        <v>23</v>
      </c>
      <c r="C25" s="179">
        <v>2780</v>
      </c>
      <c r="D25" s="138"/>
      <c r="E25" s="142">
        <v>0.15779220779220779</v>
      </c>
      <c r="F25" s="142">
        <v>71.880566232305242</v>
      </c>
      <c r="G25" s="183">
        <v>-4974.8201438848919</v>
      </c>
      <c r="H25" s="144"/>
      <c r="I25" s="186"/>
      <c r="K25" s="210">
        <v>27.144722118612457</v>
      </c>
      <c r="L25" s="143">
        <v>127.69784172661872</v>
      </c>
      <c r="M25" s="146">
        <v>5.5575809564657943</v>
      </c>
      <c r="N25" s="143">
        <v>8386.6906474820153</v>
      </c>
      <c r="O25" s="138">
        <v>4307</v>
      </c>
      <c r="P25" s="143">
        <v>2650</v>
      </c>
      <c r="Q25" s="184">
        <v>21133</v>
      </c>
      <c r="R25" s="184">
        <v>-18483</v>
      </c>
      <c r="S25" s="139">
        <v>9796</v>
      </c>
      <c r="T25" s="138">
        <v>8888</v>
      </c>
      <c r="U25" s="151"/>
      <c r="W25" s="183">
        <v>-119</v>
      </c>
      <c r="X25" s="183">
        <v>33</v>
      </c>
      <c r="Y25" s="184">
        <v>115</v>
      </c>
      <c r="Z25" s="130">
        <v>786</v>
      </c>
      <c r="AA25" s="130">
        <v>0</v>
      </c>
      <c r="AB25" s="130">
        <v>0</v>
      </c>
      <c r="AC25" s="184">
        <v>-671</v>
      </c>
      <c r="AD25" s="183">
        <v>0</v>
      </c>
      <c r="AE25" s="183">
        <v>0</v>
      </c>
      <c r="AF25" s="183">
        <v>0</v>
      </c>
      <c r="AG25" s="183">
        <v>-671</v>
      </c>
      <c r="AH25" s="183">
        <v>292</v>
      </c>
      <c r="AI25" s="183">
        <v>201</v>
      </c>
      <c r="AJ25" s="167"/>
      <c r="AK25" s="183">
        <v>373</v>
      </c>
      <c r="AL25" s="183">
        <v>-1412</v>
      </c>
      <c r="AM25" s="180">
        <v>-394</v>
      </c>
      <c r="AN25" s="139">
        <v>9796</v>
      </c>
      <c r="AO25" s="138">
        <v>7218</v>
      </c>
      <c r="AP25" s="184">
        <v>1260</v>
      </c>
      <c r="AQ25" s="138">
        <v>1318</v>
      </c>
      <c r="AR25" s="109">
        <v>21.5</v>
      </c>
      <c r="AS25" s="144"/>
      <c r="AT25" s="139">
        <v>236</v>
      </c>
      <c r="AU25" s="228">
        <v>2697</v>
      </c>
      <c r="AV25" s="138"/>
      <c r="AW25" s="224">
        <v>-0.12949297786241371</v>
      </c>
      <c r="AX25" s="225">
        <v>63.165516242699233</v>
      </c>
      <c r="AY25" s="139">
        <v>-4007.7864293659622</v>
      </c>
      <c r="AZ25" s="144"/>
      <c r="BA25"/>
      <c r="BC25" s="189">
        <v>26.302674566698045</v>
      </c>
      <c r="BD25" s="183">
        <v>469.78123841305154</v>
      </c>
      <c r="BE25" s="140">
        <v>17.411053800685217</v>
      </c>
      <c r="BF25" s="139">
        <v>9848.3500185391167</v>
      </c>
      <c r="BG25" s="184">
        <v>4331</v>
      </c>
      <c r="BH25" s="216">
        <v>2730</v>
      </c>
      <c r="BI25" s="216">
        <v>20989</v>
      </c>
      <c r="BJ25" s="216">
        <v>-18256</v>
      </c>
      <c r="BK25" s="216">
        <v>9355</v>
      </c>
      <c r="BL25" s="216">
        <v>8632</v>
      </c>
      <c r="BM25" s="151"/>
      <c r="BO25" s="216">
        <v>-109</v>
      </c>
      <c r="BP25" s="216">
        <v>56</v>
      </c>
      <c r="BQ25" s="216">
        <v>-322</v>
      </c>
      <c r="BR25" s="216">
        <v>750</v>
      </c>
      <c r="BS25" s="216">
        <v>0</v>
      </c>
      <c r="BT25" s="216">
        <v>0</v>
      </c>
      <c r="BU25" s="216">
        <v>-1072</v>
      </c>
      <c r="BV25" s="183">
        <v>0</v>
      </c>
      <c r="BW25" s="183">
        <v>0</v>
      </c>
      <c r="BX25" s="183">
        <v>0</v>
      </c>
      <c r="BY25" s="183">
        <v>-1072</v>
      </c>
      <c r="BZ25" s="183">
        <v>-780</v>
      </c>
      <c r="CA25" s="183">
        <v>-323</v>
      </c>
      <c r="CB25" s="167"/>
      <c r="CC25" s="183">
        <v>139</v>
      </c>
      <c r="CD25" s="183">
        <v>-4897</v>
      </c>
      <c r="CE25" s="180">
        <v>3029</v>
      </c>
      <c r="CF25" s="139">
        <v>9355</v>
      </c>
      <c r="CG25" s="216">
        <v>6734</v>
      </c>
      <c r="CH25" s="216">
        <v>1293</v>
      </c>
      <c r="CI25" s="216">
        <v>1328</v>
      </c>
      <c r="CJ25" s="212">
        <v>21.5</v>
      </c>
      <c r="CK25" s="144"/>
      <c r="CL25" s="130">
        <v>265</v>
      </c>
      <c r="CM25" s="228">
        <v>2655</v>
      </c>
      <c r="CN25" s="138"/>
      <c r="CO25" s="142">
        <v>2.7917383820998278</v>
      </c>
      <c r="CP25" s="142">
        <v>57.364137568915723</v>
      </c>
      <c r="CQ25" s="183">
        <v>-3447.8342749529188</v>
      </c>
      <c r="CR25" s="144"/>
      <c r="CS25"/>
      <c r="CU25" s="232">
        <v>33.796088968502758</v>
      </c>
      <c r="CV25" s="143">
        <v>887.38229755178907</v>
      </c>
      <c r="CW25" s="146">
        <v>38.195789286666077</v>
      </c>
      <c r="CX25" s="143">
        <v>8479.8493408662907</v>
      </c>
      <c r="CY25" s="131">
        <v>3983</v>
      </c>
      <c r="CZ25" s="229">
        <v>2062</v>
      </c>
      <c r="DA25" s="229">
        <v>19683</v>
      </c>
      <c r="DB25" s="216">
        <v>-17621</v>
      </c>
      <c r="DC25" s="229">
        <v>10263</v>
      </c>
      <c r="DD25" s="229">
        <v>10534</v>
      </c>
      <c r="DE25" s="151"/>
      <c r="DG25" s="229">
        <v>-64</v>
      </c>
      <c r="DH25" s="229">
        <v>61</v>
      </c>
      <c r="DI25" s="229">
        <v>3173</v>
      </c>
      <c r="DJ25" s="229">
        <v>1130</v>
      </c>
      <c r="DK25" s="229">
        <v>0</v>
      </c>
      <c r="DL25" s="229">
        <v>0</v>
      </c>
      <c r="DM25" s="229">
        <v>2043</v>
      </c>
      <c r="DN25" s="130">
        <v>0</v>
      </c>
      <c r="DO25" s="130">
        <v>0</v>
      </c>
      <c r="DP25" s="130">
        <v>0</v>
      </c>
      <c r="DQ25" s="130">
        <v>2043</v>
      </c>
      <c r="DR25" s="130">
        <v>1262</v>
      </c>
      <c r="DS25" s="130">
        <v>3154</v>
      </c>
      <c r="DT25" s="167"/>
      <c r="DU25" s="183">
        <v>-590</v>
      </c>
      <c r="DV25" s="183">
        <v>-1091</v>
      </c>
      <c r="DW25" s="180">
        <v>1513</v>
      </c>
      <c r="DX25" s="130">
        <v>10263</v>
      </c>
      <c r="DY25" s="229">
        <v>7580</v>
      </c>
      <c r="DZ25" s="229">
        <v>1467</v>
      </c>
      <c r="EA25" s="229">
        <v>1216</v>
      </c>
      <c r="EB25" s="212">
        <v>21.5</v>
      </c>
      <c r="EC25" s="208"/>
      <c r="ED25" s="183">
        <v>11</v>
      </c>
      <c r="EE25" s="3">
        <v>15436</v>
      </c>
      <c r="EF25" s="183">
        <v>15234</v>
      </c>
      <c r="EG25" s="130">
        <v>14448</v>
      </c>
      <c r="EH25" s="130"/>
      <c r="EI25" s="130"/>
      <c r="EJ25" s="130">
        <v>370</v>
      </c>
      <c r="EK25" s="183">
        <v>-641</v>
      </c>
      <c r="EL25" s="183">
        <v>0</v>
      </c>
      <c r="EM25" s="183">
        <v>46</v>
      </c>
      <c r="EN25" s="226">
        <v>-555</v>
      </c>
      <c r="EO25" s="226">
        <v>52</v>
      </c>
      <c r="EP25" s="226">
        <v>3855</v>
      </c>
      <c r="EQ25" s="226">
        <v>-1674</v>
      </c>
      <c r="ER25" s="230">
        <v>13</v>
      </c>
      <c r="ES25" s="230">
        <v>20</v>
      </c>
      <c r="ET25" s="3">
        <v>0</v>
      </c>
      <c r="EU25" s="211">
        <v>500</v>
      </c>
      <c r="EV25" s="183">
        <v>1500</v>
      </c>
      <c r="EW25" s="183">
        <v>2000</v>
      </c>
      <c r="EX25" s="130">
        <v>2700</v>
      </c>
      <c r="EY25" s="183">
        <v>-1500</v>
      </c>
      <c r="EZ25" s="3">
        <v>12556</v>
      </c>
      <c r="FA25" s="3">
        <v>9883</v>
      </c>
      <c r="FB25" s="3">
        <v>2673</v>
      </c>
      <c r="FC25" s="3">
        <v>22</v>
      </c>
      <c r="FD25" s="226">
        <v>11159</v>
      </c>
      <c r="FE25" s="183">
        <v>6574</v>
      </c>
      <c r="FF25" s="183">
        <v>4585</v>
      </c>
      <c r="FG25" s="183">
        <v>22</v>
      </c>
      <c r="FH25" s="230">
        <v>11269</v>
      </c>
      <c r="FI25" s="130">
        <v>8126</v>
      </c>
      <c r="FJ25" s="130">
        <v>3143</v>
      </c>
      <c r="FK25" s="130">
        <v>22</v>
      </c>
      <c r="FL25" s="29">
        <v>10175.899280575539</v>
      </c>
      <c r="FM25" s="139">
        <v>9944.3826473859845</v>
      </c>
      <c r="FN25" s="139">
        <v>9859.1337099811662</v>
      </c>
      <c r="FO25" s="172">
        <f t="shared" si="0"/>
        <v>352.55813953488371</v>
      </c>
      <c r="FP25" s="170">
        <f t="shared" si="1"/>
        <v>132.7902597118206</v>
      </c>
      <c r="FR25" s="175"/>
      <c r="FS25" s="195"/>
      <c r="FV25" s="175">
        <v>1545</v>
      </c>
      <c r="FW25" s="2">
        <f t="shared" si="2"/>
        <v>-1545</v>
      </c>
      <c r="FZ25" s="186"/>
      <c r="GA25" s="2"/>
      <c r="GB25" s="2"/>
    </row>
    <row r="26" spans="1:184" ht="13" x14ac:dyDescent="0.3">
      <c r="A26" s="77">
        <v>82</v>
      </c>
      <c r="B26" s="75" t="s">
        <v>24</v>
      </c>
      <c r="C26" s="179">
        <v>9475</v>
      </c>
      <c r="D26" s="138"/>
      <c r="E26" s="142">
        <v>0.27830806662923452</v>
      </c>
      <c r="F26" s="142">
        <v>76.625580397933874</v>
      </c>
      <c r="G26" s="183">
        <v>-3950.2902374670184</v>
      </c>
      <c r="H26" s="144"/>
      <c r="I26" s="186"/>
      <c r="K26" s="210">
        <v>37.132229641147596</v>
      </c>
      <c r="L26" s="143">
        <v>42.21635883905013</v>
      </c>
      <c r="M26" s="146">
        <v>2.445069667738478</v>
      </c>
      <c r="N26" s="143">
        <v>6302.0580474934031</v>
      </c>
      <c r="O26" s="138">
        <v>21791</v>
      </c>
      <c r="P26" s="143">
        <v>6627</v>
      </c>
      <c r="Q26" s="184">
        <v>52354</v>
      </c>
      <c r="R26" s="184">
        <v>-45727</v>
      </c>
      <c r="S26" s="139">
        <v>37674</v>
      </c>
      <c r="T26" s="138">
        <v>9329</v>
      </c>
      <c r="U26" s="151"/>
      <c r="W26" s="183">
        <v>41</v>
      </c>
      <c r="X26" s="183">
        <v>11</v>
      </c>
      <c r="Y26" s="184">
        <v>1328</v>
      </c>
      <c r="Z26" s="130">
        <v>1985</v>
      </c>
      <c r="AA26" s="130">
        <v>0</v>
      </c>
      <c r="AB26" s="130">
        <v>0</v>
      </c>
      <c r="AC26" s="184">
        <v>-657</v>
      </c>
      <c r="AD26" s="183">
        <v>0</v>
      </c>
      <c r="AE26" s="183">
        <v>0</v>
      </c>
      <c r="AF26" s="183">
        <v>0</v>
      </c>
      <c r="AG26" s="183">
        <v>-657</v>
      </c>
      <c r="AH26" s="183">
        <v>4853</v>
      </c>
      <c r="AI26" s="183">
        <v>731</v>
      </c>
      <c r="AJ26" s="167"/>
      <c r="AK26" s="183">
        <v>-1402</v>
      </c>
      <c r="AL26" s="183">
        <v>-5184</v>
      </c>
      <c r="AM26" s="180">
        <v>1198</v>
      </c>
      <c r="AN26" s="139">
        <v>37674</v>
      </c>
      <c r="AO26" s="138">
        <v>34059</v>
      </c>
      <c r="AP26" s="184">
        <v>1307</v>
      </c>
      <c r="AQ26" s="138">
        <v>2308</v>
      </c>
      <c r="AR26" s="109">
        <v>20.5</v>
      </c>
      <c r="AS26" s="144"/>
      <c r="AT26" s="139">
        <v>204</v>
      </c>
      <c r="AU26" s="228">
        <v>9422</v>
      </c>
      <c r="AV26" s="138"/>
      <c r="AW26" s="224">
        <v>0.11195625155356699</v>
      </c>
      <c r="AX26" s="225">
        <v>79.094122267312471</v>
      </c>
      <c r="AY26" s="139">
        <v>-4075.2494162598173</v>
      </c>
      <c r="AZ26" s="144"/>
      <c r="BA26"/>
      <c r="BC26" s="189">
        <v>34.744776027942891</v>
      </c>
      <c r="BD26" s="183">
        <v>52.961154744215662</v>
      </c>
      <c r="BE26" s="140">
        <v>3.1500890710666045</v>
      </c>
      <c r="BF26" s="139">
        <v>6136.5952027170451</v>
      </c>
      <c r="BG26" s="184">
        <v>21700</v>
      </c>
      <c r="BH26" s="216">
        <v>6861</v>
      </c>
      <c r="BI26" s="216">
        <v>53143</v>
      </c>
      <c r="BJ26" s="216">
        <v>-46279</v>
      </c>
      <c r="BK26" s="216">
        <v>36891</v>
      </c>
      <c r="BL26" s="216">
        <v>9721</v>
      </c>
      <c r="BM26" s="151"/>
      <c r="BO26" s="216">
        <v>49</v>
      </c>
      <c r="BP26" s="216">
        <v>33</v>
      </c>
      <c r="BQ26" s="216">
        <v>415</v>
      </c>
      <c r="BR26" s="216">
        <v>2093</v>
      </c>
      <c r="BS26" s="216">
        <v>0</v>
      </c>
      <c r="BT26" s="216">
        <v>0</v>
      </c>
      <c r="BU26" s="216">
        <v>-1678</v>
      </c>
      <c r="BV26" s="183">
        <v>0</v>
      </c>
      <c r="BW26" s="183">
        <v>0</v>
      </c>
      <c r="BX26" s="183">
        <v>0</v>
      </c>
      <c r="BY26" s="183">
        <v>-1678</v>
      </c>
      <c r="BZ26" s="183">
        <v>3175</v>
      </c>
      <c r="CA26" s="183">
        <v>444</v>
      </c>
      <c r="CB26" s="167"/>
      <c r="CC26" s="183">
        <v>-136</v>
      </c>
      <c r="CD26" s="183">
        <v>-2938</v>
      </c>
      <c r="CE26" s="180">
        <v>-945</v>
      </c>
      <c r="CF26" s="139">
        <v>36891</v>
      </c>
      <c r="CG26" s="216">
        <v>33409</v>
      </c>
      <c r="CH26" s="216">
        <v>1229</v>
      </c>
      <c r="CI26" s="216">
        <v>2253</v>
      </c>
      <c r="CJ26" s="212">
        <v>20.5</v>
      </c>
      <c r="CK26" s="144"/>
      <c r="CL26" s="130">
        <v>215</v>
      </c>
      <c r="CM26" s="228">
        <v>9389</v>
      </c>
      <c r="CN26" s="138"/>
      <c r="CO26" s="142">
        <v>1.4770949720670392</v>
      </c>
      <c r="CP26" s="142">
        <v>63.95442224676237</v>
      </c>
      <c r="CQ26" s="183">
        <v>-3821.5997443817232</v>
      </c>
      <c r="CR26" s="144"/>
      <c r="CS26"/>
      <c r="CU26" s="232">
        <v>40.196782758082151</v>
      </c>
      <c r="CV26" s="143">
        <v>54.212376184897224</v>
      </c>
      <c r="CW26" s="146">
        <v>3.0548201982998173</v>
      </c>
      <c r="CX26" s="143">
        <v>6477.4736393652147</v>
      </c>
      <c r="CY26" s="131">
        <v>22056</v>
      </c>
      <c r="CZ26" s="229">
        <v>6459</v>
      </c>
      <c r="DA26" s="229">
        <v>54593</v>
      </c>
      <c r="DB26" s="216">
        <v>-48134</v>
      </c>
      <c r="DC26" s="229">
        <v>39278</v>
      </c>
      <c r="DD26" s="229">
        <v>14030</v>
      </c>
      <c r="DE26" s="151"/>
      <c r="DG26" s="229">
        <v>49</v>
      </c>
      <c r="DH26" s="229">
        <v>-87</v>
      </c>
      <c r="DI26" s="229">
        <v>5136</v>
      </c>
      <c r="DJ26" s="229">
        <v>2149</v>
      </c>
      <c r="DK26" s="229">
        <v>0</v>
      </c>
      <c r="DL26" s="229">
        <v>0</v>
      </c>
      <c r="DM26" s="229">
        <v>2987</v>
      </c>
      <c r="DN26" s="130">
        <v>0</v>
      </c>
      <c r="DO26" s="130">
        <v>-2000</v>
      </c>
      <c r="DP26" s="130">
        <v>0</v>
      </c>
      <c r="DQ26" s="130">
        <v>987</v>
      </c>
      <c r="DR26" s="130">
        <v>4233</v>
      </c>
      <c r="DS26" s="130">
        <v>4831</v>
      </c>
      <c r="DT26" s="167"/>
      <c r="DU26" s="183">
        <v>1566</v>
      </c>
      <c r="DV26" s="183">
        <v>-3428</v>
      </c>
      <c r="DW26" s="180">
        <v>2390</v>
      </c>
      <c r="DX26" s="130">
        <v>39278</v>
      </c>
      <c r="DY26" s="229">
        <v>35704</v>
      </c>
      <c r="DZ26" s="229">
        <v>1266</v>
      </c>
      <c r="EA26" s="229">
        <v>2308</v>
      </c>
      <c r="EB26" s="212">
        <v>20.75</v>
      </c>
      <c r="EC26" s="208"/>
      <c r="ED26" s="183">
        <v>210.16176470588201</v>
      </c>
      <c r="EE26" s="3">
        <v>24662</v>
      </c>
      <c r="EF26" s="183">
        <v>25877</v>
      </c>
      <c r="EG26" s="130">
        <v>26379</v>
      </c>
      <c r="EH26" s="130"/>
      <c r="EI26" s="130"/>
      <c r="EJ26" s="130"/>
      <c r="EK26" s="183">
        <v>-2008</v>
      </c>
      <c r="EL26" s="183">
        <v>0</v>
      </c>
      <c r="EM26" s="183">
        <v>2475</v>
      </c>
      <c r="EN26" s="226">
        <v>-1584</v>
      </c>
      <c r="EO26" s="226">
        <v>18</v>
      </c>
      <c r="EP26" s="226">
        <v>177</v>
      </c>
      <c r="EQ26" s="226">
        <v>-2545</v>
      </c>
      <c r="ER26" s="230">
        <v>23</v>
      </c>
      <c r="ES26" s="230">
        <v>81</v>
      </c>
      <c r="ET26" s="3">
        <v>0</v>
      </c>
      <c r="EU26" s="211">
        <v>4556</v>
      </c>
      <c r="EV26" s="183">
        <v>3400</v>
      </c>
      <c r="EW26" s="183">
        <v>1141</v>
      </c>
      <c r="EX26" s="130">
        <v>6000</v>
      </c>
      <c r="EY26" s="183">
        <v>-7157</v>
      </c>
      <c r="EZ26" s="3">
        <v>34533</v>
      </c>
      <c r="FA26" s="3">
        <v>22996</v>
      </c>
      <c r="FB26" s="3">
        <v>11537</v>
      </c>
      <c r="FC26" s="3">
        <v>4398</v>
      </c>
      <c r="FD26" s="226">
        <v>36137</v>
      </c>
      <c r="FE26" s="183">
        <v>23118</v>
      </c>
      <c r="FF26" s="183">
        <v>13019</v>
      </c>
      <c r="FG26" s="183">
        <v>4398</v>
      </c>
      <c r="FH26" s="230">
        <v>31551</v>
      </c>
      <c r="FI26" s="130">
        <v>25390</v>
      </c>
      <c r="FJ26" s="130">
        <v>6161</v>
      </c>
      <c r="FK26" s="130">
        <v>4398</v>
      </c>
      <c r="FL26" s="29">
        <v>4755.9894459102907</v>
      </c>
      <c r="FM26" s="139">
        <v>5353.534281468902</v>
      </c>
      <c r="FN26" s="139">
        <v>5014.4850356800516</v>
      </c>
      <c r="FO26" s="172">
        <f t="shared" si="0"/>
        <v>1720.6746987951808</v>
      </c>
      <c r="FP26" s="170">
        <f t="shared" si="1"/>
        <v>183.26495886624568</v>
      </c>
      <c r="FR26" s="175"/>
      <c r="FS26" s="195"/>
      <c r="FV26" s="175">
        <v>1420</v>
      </c>
      <c r="FW26" s="2">
        <f t="shared" si="2"/>
        <v>-1420</v>
      </c>
      <c r="FZ26" s="186"/>
      <c r="GA26" s="2"/>
      <c r="GB26" s="2"/>
    </row>
    <row r="27" spans="1:184" ht="13" x14ac:dyDescent="0.3">
      <c r="A27" s="77">
        <v>86</v>
      </c>
      <c r="B27" s="75" t="s">
        <v>25</v>
      </c>
      <c r="C27" s="179">
        <v>8417</v>
      </c>
      <c r="D27" s="138"/>
      <c r="E27" s="142">
        <v>0.32626427406199021</v>
      </c>
      <c r="F27" s="142">
        <v>51.443773423694587</v>
      </c>
      <c r="G27" s="183">
        <v>-2944.8734703576097</v>
      </c>
      <c r="H27" s="144"/>
      <c r="I27" s="186"/>
      <c r="K27" s="210">
        <v>42.094857413018715</v>
      </c>
      <c r="L27" s="143">
        <v>57.859094689319235</v>
      </c>
      <c r="M27" s="146">
        <v>3.1409361581821074</v>
      </c>
      <c r="N27" s="143">
        <v>6723.6545087323275</v>
      </c>
      <c r="O27" s="138">
        <v>17338</v>
      </c>
      <c r="P27" s="143">
        <v>6456</v>
      </c>
      <c r="Q27" s="184">
        <v>49778</v>
      </c>
      <c r="R27" s="184">
        <v>-43322</v>
      </c>
      <c r="S27" s="139">
        <v>31690</v>
      </c>
      <c r="T27" s="138">
        <v>13374</v>
      </c>
      <c r="U27" s="151"/>
      <c r="W27" s="183">
        <v>-241</v>
      </c>
      <c r="X27" s="183">
        <v>52</v>
      </c>
      <c r="Y27" s="184">
        <v>1553</v>
      </c>
      <c r="Z27" s="130">
        <v>2479</v>
      </c>
      <c r="AA27" s="130">
        <v>0</v>
      </c>
      <c r="AB27" s="130">
        <v>0</v>
      </c>
      <c r="AC27" s="184">
        <v>-926</v>
      </c>
      <c r="AD27" s="183">
        <v>0</v>
      </c>
      <c r="AE27" s="183">
        <v>0</v>
      </c>
      <c r="AF27" s="183">
        <v>0</v>
      </c>
      <c r="AG27" s="183">
        <v>-926</v>
      </c>
      <c r="AH27" s="183">
        <v>5064</v>
      </c>
      <c r="AI27" s="183">
        <v>1197</v>
      </c>
      <c r="AJ27" s="167"/>
      <c r="AK27" s="183">
        <v>-122</v>
      </c>
      <c r="AL27" s="183">
        <v>-5270</v>
      </c>
      <c r="AM27" s="180">
        <v>3</v>
      </c>
      <c r="AN27" s="139">
        <v>31690</v>
      </c>
      <c r="AO27" s="138">
        <v>28947</v>
      </c>
      <c r="AP27" s="184">
        <v>1665</v>
      </c>
      <c r="AQ27" s="138">
        <v>1078</v>
      </c>
      <c r="AR27" s="109">
        <v>21.5</v>
      </c>
      <c r="AS27" s="144"/>
      <c r="AT27" s="139">
        <v>177</v>
      </c>
      <c r="AU27" s="228">
        <v>8260</v>
      </c>
      <c r="AV27" s="138"/>
      <c r="AW27" s="224">
        <v>0.70589949016751641</v>
      </c>
      <c r="AX27" s="225">
        <v>53.656320968962909</v>
      </c>
      <c r="AY27" s="139">
        <v>-2979.0556900726392</v>
      </c>
      <c r="AZ27" s="144"/>
      <c r="BA27"/>
      <c r="BC27" s="189">
        <v>40.446747455562665</v>
      </c>
      <c r="BD27" s="183">
        <v>322.63922518159802</v>
      </c>
      <c r="BE27" s="140">
        <v>17.035165758918406</v>
      </c>
      <c r="BF27" s="139">
        <v>6912.9539951573852</v>
      </c>
      <c r="BG27" s="184">
        <v>18038</v>
      </c>
      <c r="BH27" s="216">
        <v>6733</v>
      </c>
      <c r="BI27" s="216">
        <v>50434</v>
      </c>
      <c r="BJ27" s="216">
        <v>-43693</v>
      </c>
      <c r="BK27" s="216">
        <v>32653</v>
      </c>
      <c r="BL27" s="216">
        <v>13454</v>
      </c>
      <c r="BM27" s="151"/>
      <c r="BO27" s="216">
        <v>-215</v>
      </c>
      <c r="BP27" s="216">
        <v>4</v>
      </c>
      <c r="BQ27" s="216">
        <v>2203</v>
      </c>
      <c r="BR27" s="216">
        <v>2198</v>
      </c>
      <c r="BS27" s="216">
        <v>0</v>
      </c>
      <c r="BT27" s="216">
        <v>0</v>
      </c>
      <c r="BU27" s="216">
        <v>5</v>
      </c>
      <c r="BV27" s="183">
        <v>0</v>
      </c>
      <c r="BW27" s="183">
        <v>0</v>
      </c>
      <c r="BX27" s="183">
        <v>0</v>
      </c>
      <c r="BY27" s="183">
        <v>5</v>
      </c>
      <c r="BZ27" s="183">
        <v>5068</v>
      </c>
      <c r="CA27" s="183">
        <v>1936</v>
      </c>
      <c r="CB27" s="167"/>
      <c r="CC27" s="183">
        <v>139</v>
      </c>
      <c r="CD27" s="183">
        <v>-4175</v>
      </c>
      <c r="CE27" s="180">
        <v>173</v>
      </c>
      <c r="CF27" s="139">
        <v>32653</v>
      </c>
      <c r="CG27" s="216">
        <v>29779</v>
      </c>
      <c r="CH27" s="216">
        <v>1143</v>
      </c>
      <c r="CI27" s="216">
        <v>1731</v>
      </c>
      <c r="CJ27" s="212">
        <v>21.5</v>
      </c>
      <c r="CK27" s="144"/>
      <c r="CL27" s="130">
        <v>100</v>
      </c>
      <c r="CM27" s="228">
        <v>8175</v>
      </c>
      <c r="CN27" s="138"/>
      <c r="CO27" s="142">
        <v>1.3345070422535212</v>
      </c>
      <c r="CP27" s="142">
        <v>65.069019089626607</v>
      </c>
      <c r="CQ27" s="183">
        <v>-3201.4678899082569</v>
      </c>
      <c r="CR27" s="144"/>
      <c r="CS27"/>
      <c r="CU27" s="232">
        <v>37.856239993258619</v>
      </c>
      <c r="CV27" s="143">
        <v>1003.0581039755351</v>
      </c>
      <c r="CW27" s="146">
        <v>48.511272833363051</v>
      </c>
      <c r="CX27" s="143">
        <v>7547.0336391437313</v>
      </c>
      <c r="CY27" s="131">
        <v>18362</v>
      </c>
      <c r="CZ27" s="229">
        <v>6473</v>
      </c>
      <c r="DA27" s="229">
        <v>50730</v>
      </c>
      <c r="DB27" s="216">
        <v>-44257</v>
      </c>
      <c r="DC27" s="229">
        <v>32854</v>
      </c>
      <c r="DD27" s="229">
        <v>16695</v>
      </c>
      <c r="DE27" s="151"/>
      <c r="DG27" s="229">
        <v>-156</v>
      </c>
      <c r="DH27" s="229">
        <v>-2</v>
      </c>
      <c r="DI27" s="229">
        <v>5134</v>
      </c>
      <c r="DJ27" s="229">
        <v>2054</v>
      </c>
      <c r="DK27" s="229">
        <v>0</v>
      </c>
      <c r="DL27" s="229">
        <v>0</v>
      </c>
      <c r="DM27" s="229">
        <v>3080</v>
      </c>
      <c r="DN27" s="130">
        <v>0</v>
      </c>
      <c r="DO27" s="130">
        <v>0</v>
      </c>
      <c r="DP27" s="130">
        <v>0</v>
      </c>
      <c r="DQ27" s="130">
        <v>3080</v>
      </c>
      <c r="DR27" s="130">
        <v>7938</v>
      </c>
      <c r="DS27" s="130">
        <v>4982</v>
      </c>
      <c r="DT27" s="167"/>
      <c r="DU27" s="183">
        <v>-986</v>
      </c>
      <c r="DV27" s="183">
        <v>-3804</v>
      </c>
      <c r="DW27" s="180">
        <v>-1405</v>
      </c>
      <c r="DX27" s="130">
        <v>32854</v>
      </c>
      <c r="DY27" s="229">
        <v>30132</v>
      </c>
      <c r="DZ27" s="229">
        <v>1174</v>
      </c>
      <c r="EA27" s="229">
        <v>1548</v>
      </c>
      <c r="EB27" s="212">
        <v>21.5</v>
      </c>
      <c r="EC27" s="208"/>
      <c r="ED27" s="183">
        <v>167.85294117647001</v>
      </c>
      <c r="EE27" s="3">
        <v>25980</v>
      </c>
      <c r="EF27" s="183">
        <v>26103</v>
      </c>
      <c r="EG27" s="130">
        <v>26229</v>
      </c>
      <c r="EH27" s="130"/>
      <c r="EI27" s="130"/>
      <c r="EJ27" s="130"/>
      <c r="EK27" s="183">
        <v>-1313</v>
      </c>
      <c r="EL27" s="183">
        <v>0</v>
      </c>
      <c r="EM27" s="183">
        <v>119</v>
      </c>
      <c r="EN27" s="226">
        <v>-2278</v>
      </c>
      <c r="EO27" s="226">
        <v>180</v>
      </c>
      <c r="EP27" s="226">
        <v>335</v>
      </c>
      <c r="EQ27" s="226">
        <v>-7003</v>
      </c>
      <c r="ER27" s="230">
        <v>449</v>
      </c>
      <c r="ES27" s="230">
        <v>167</v>
      </c>
      <c r="ET27" s="3">
        <v>0</v>
      </c>
      <c r="EU27" s="211">
        <v>3200</v>
      </c>
      <c r="EV27" s="183">
        <v>5000</v>
      </c>
      <c r="EW27" s="183">
        <v>800</v>
      </c>
      <c r="EX27" s="130">
        <v>5000</v>
      </c>
      <c r="EY27" s="183">
        <v>5000</v>
      </c>
      <c r="EZ27" s="3">
        <v>21707</v>
      </c>
      <c r="FA27" s="3">
        <v>14499</v>
      </c>
      <c r="FB27" s="3">
        <v>7208</v>
      </c>
      <c r="FC27" s="3">
        <v>109</v>
      </c>
      <c r="FD27" s="226">
        <v>23332</v>
      </c>
      <c r="FE27" s="183">
        <v>15694</v>
      </c>
      <c r="FF27" s="183">
        <v>7638</v>
      </c>
      <c r="FG27" s="183">
        <v>95</v>
      </c>
      <c r="FH27" s="230">
        <v>29528</v>
      </c>
      <c r="FI27" s="130">
        <v>16656</v>
      </c>
      <c r="FJ27" s="130">
        <v>12872</v>
      </c>
      <c r="FK27" s="130">
        <v>82</v>
      </c>
      <c r="FL27" s="29">
        <v>2871.0942140905308</v>
      </c>
      <c r="FM27" s="139">
        <v>3190.0726392251813</v>
      </c>
      <c r="FN27" s="139">
        <v>4015.9021406727834</v>
      </c>
      <c r="FO27" s="172">
        <f t="shared" si="0"/>
        <v>1401.4883720930231</v>
      </c>
      <c r="FP27" s="170">
        <f t="shared" si="1"/>
        <v>171.43588649455941</v>
      </c>
      <c r="FR27" s="175"/>
      <c r="FS27" s="195"/>
      <c r="FV27" s="175">
        <v>3465</v>
      </c>
      <c r="FW27" s="2">
        <f t="shared" si="2"/>
        <v>-3465</v>
      </c>
      <c r="FZ27" s="186"/>
      <c r="GA27" s="2"/>
      <c r="GB27" s="2"/>
    </row>
    <row r="28" spans="1:184" ht="13" x14ac:dyDescent="0.3">
      <c r="A28" s="77">
        <v>111</v>
      </c>
      <c r="B28" s="75" t="s">
        <v>38</v>
      </c>
      <c r="C28" s="179">
        <v>18889</v>
      </c>
      <c r="D28" s="138"/>
      <c r="E28" s="142">
        <v>1.301274499303845</v>
      </c>
      <c r="F28" s="142">
        <v>63.106960575641303</v>
      </c>
      <c r="G28" s="183">
        <v>99.052358515538145</v>
      </c>
      <c r="H28" s="144"/>
      <c r="I28" s="186"/>
      <c r="K28" s="210">
        <v>59.796643290233035</v>
      </c>
      <c r="L28" s="143">
        <v>4188.9459473767802</v>
      </c>
      <c r="M28" s="146">
        <v>191.67369056784091</v>
      </c>
      <c r="N28" s="143">
        <v>7976.9177828365719</v>
      </c>
      <c r="O28" s="138">
        <v>55088</v>
      </c>
      <c r="P28" s="143">
        <v>24265</v>
      </c>
      <c r="Q28" s="184">
        <v>124841</v>
      </c>
      <c r="R28" s="184">
        <v>-100576</v>
      </c>
      <c r="S28" s="139">
        <v>68917</v>
      </c>
      <c r="T28" s="138">
        <v>42965</v>
      </c>
      <c r="U28" s="151"/>
      <c r="W28" s="183">
        <v>-512</v>
      </c>
      <c r="X28" s="183">
        <v>755</v>
      </c>
      <c r="Y28" s="184">
        <v>11549</v>
      </c>
      <c r="Z28" s="130">
        <v>5777</v>
      </c>
      <c r="AA28" s="130">
        <v>0</v>
      </c>
      <c r="AB28" s="130">
        <v>0</v>
      </c>
      <c r="AC28" s="184">
        <v>5772</v>
      </c>
      <c r="AD28" s="184">
        <v>245</v>
      </c>
      <c r="AE28" s="184">
        <v>0</v>
      </c>
      <c r="AF28" s="183">
        <v>0</v>
      </c>
      <c r="AG28" s="183">
        <v>6017</v>
      </c>
      <c r="AH28" s="183">
        <v>26145</v>
      </c>
      <c r="AI28" s="183">
        <v>8097</v>
      </c>
      <c r="AJ28" s="167"/>
      <c r="AK28" s="183">
        <v>-790</v>
      </c>
      <c r="AL28" s="183">
        <v>-8736</v>
      </c>
      <c r="AM28" s="180">
        <v>-2748</v>
      </c>
      <c r="AN28" s="139">
        <v>68917</v>
      </c>
      <c r="AO28" s="138">
        <v>59686</v>
      </c>
      <c r="AP28" s="184">
        <v>2988</v>
      </c>
      <c r="AQ28" s="138">
        <v>6243</v>
      </c>
      <c r="AR28" s="109">
        <v>20.5</v>
      </c>
      <c r="AS28" s="144"/>
      <c r="AT28" s="139">
        <v>18</v>
      </c>
      <c r="AU28" s="228">
        <v>18667</v>
      </c>
      <c r="AV28" s="138"/>
      <c r="AW28" s="224">
        <v>0.77294894480169174</v>
      </c>
      <c r="AX28" s="225">
        <v>76.732823500849719</v>
      </c>
      <c r="AY28" s="139">
        <v>-493.49118765736324</v>
      </c>
      <c r="AZ28" s="144"/>
      <c r="BA28"/>
      <c r="BC28" s="189">
        <v>55.869369580701431</v>
      </c>
      <c r="BD28" s="183">
        <v>4490.9733754754379</v>
      </c>
      <c r="BE28" s="140">
        <v>194.85121435576102</v>
      </c>
      <c r="BF28" s="139">
        <v>8412.5997750040169</v>
      </c>
      <c r="BG28" s="184">
        <v>55428</v>
      </c>
      <c r="BH28" s="216">
        <v>19955</v>
      </c>
      <c r="BI28" s="216">
        <v>127649</v>
      </c>
      <c r="BJ28" s="216">
        <v>-107188</v>
      </c>
      <c r="BK28" s="216">
        <v>68404</v>
      </c>
      <c r="BL28" s="216">
        <v>43449</v>
      </c>
      <c r="BM28" s="151"/>
      <c r="BO28" s="216">
        <v>-433</v>
      </c>
      <c r="BP28" s="216">
        <v>4190</v>
      </c>
      <c r="BQ28" s="216">
        <v>8422</v>
      </c>
      <c r="BR28" s="216">
        <v>6367</v>
      </c>
      <c r="BS28" s="216">
        <v>0</v>
      </c>
      <c r="BT28" s="216">
        <v>0</v>
      </c>
      <c r="BU28" s="216">
        <v>2055</v>
      </c>
      <c r="BV28" s="184">
        <v>100</v>
      </c>
      <c r="BW28" s="184">
        <v>0</v>
      </c>
      <c r="BX28" s="183">
        <v>0</v>
      </c>
      <c r="BY28" s="183">
        <v>2155</v>
      </c>
      <c r="BZ28" s="183">
        <v>26269</v>
      </c>
      <c r="CA28" s="183">
        <v>7881</v>
      </c>
      <c r="CB28" s="167"/>
      <c r="CC28" s="183">
        <v>337</v>
      </c>
      <c r="CD28" s="183">
        <v>-8288</v>
      </c>
      <c r="CE28" s="180">
        <v>-12092</v>
      </c>
      <c r="CF28" s="139">
        <v>68404</v>
      </c>
      <c r="CG28" s="216">
        <v>58899</v>
      </c>
      <c r="CH28" s="216">
        <v>3277</v>
      </c>
      <c r="CI28" s="216">
        <v>6228</v>
      </c>
      <c r="CJ28" s="212">
        <v>20.5</v>
      </c>
      <c r="CK28" s="144"/>
      <c r="CL28" s="130">
        <v>42</v>
      </c>
      <c r="CM28" s="228">
        <v>18497</v>
      </c>
      <c r="CN28" s="138"/>
      <c r="CO28" s="142">
        <v>2.0922296288926474</v>
      </c>
      <c r="CP28" s="142">
        <v>82.819925704047535</v>
      </c>
      <c r="CQ28" s="183">
        <v>-537.87100610909874</v>
      </c>
      <c r="CR28" s="144"/>
      <c r="CS28"/>
      <c r="CU28" s="232">
        <v>55.407575984867059</v>
      </c>
      <c r="CV28" s="143">
        <v>5402.822079256096</v>
      </c>
      <c r="CW28" s="146">
        <v>210.90126968708805</v>
      </c>
      <c r="CX28" s="143">
        <v>9350.489268530031</v>
      </c>
      <c r="CY28" s="131">
        <v>54455</v>
      </c>
      <c r="CZ28" s="229">
        <v>20048</v>
      </c>
      <c r="DA28" s="229">
        <v>127087</v>
      </c>
      <c r="DB28" s="216">
        <v>-107039</v>
      </c>
      <c r="DC28" s="229">
        <v>72997</v>
      </c>
      <c r="DD28" s="229">
        <v>52020</v>
      </c>
      <c r="DE28" s="151"/>
      <c r="DG28" s="229">
        <v>-406</v>
      </c>
      <c r="DH28" s="229">
        <v>2959</v>
      </c>
      <c r="DI28" s="229">
        <v>20531</v>
      </c>
      <c r="DJ28" s="229">
        <v>8994</v>
      </c>
      <c r="DK28" s="229">
        <v>9105</v>
      </c>
      <c r="DL28" s="229">
        <v>0</v>
      </c>
      <c r="DM28" s="229">
        <v>20642</v>
      </c>
      <c r="DN28" s="131">
        <v>14</v>
      </c>
      <c r="DO28" s="131">
        <v>-18690</v>
      </c>
      <c r="DP28" s="130">
        <v>-1</v>
      </c>
      <c r="DQ28" s="130">
        <v>1965</v>
      </c>
      <c r="DR28" s="130">
        <v>28035</v>
      </c>
      <c r="DS28" s="130">
        <v>28683</v>
      </c>
      <c r="DT28" s="167"/>
      <c r="DU28" s="183">
        <v>-1740</v>
      </c>
      <c r="DV28" s="183">
        <v>-9553</v>
      </c>
      <c r="DW28" s="180">
        <v>-1213</v>
      </c>
      <c r="DX28" s="130">
        <v>72997</v>
      </c>
      <c r="DY28" s="229">
        <v>63745</v>
      </c>
      <c r="DZ28" s="229">
        <v>3729</v>
      </c>
      <c r="EA28" s="229">
        <v>5523</v>
      </c>
      <c r="EB28" s="212">
        <v>20.5</v>
      </c>
      <c r="EC28" s="208"/>
      <c r="ED28" s="183">
        <v>16</v>
      </c>
      <c r="EE28" s="3">
        <v>51881</v>
      </c>
      <c r="EF28" s="183">
        <v>54168</v>
      </c>
      <c r="EG28" s="130">
        <v>52211</v>
      </c>
      <c r="EH28" s="130"/>
      <c r="EI28" s="130"/>
      <c r="EJ28" s="130"/>
      <c r="EK28" s="183">
        <v>-14833</v>
      </c>
      <c r="EL28" s="183">
        <v>0</v>
      </c>
      <c r="EM28" s="183">
        <v>3988</v>
      </c>
      <c r="EN28" s="226">
        <v>-20643</v>
      </c>
      <c r="EO28" s="226">
        <v>0</v>
      </c>
      <c r="EP28" s="226">
        <v>670</v>
      </c>
      <c r="EQ28" s="226">
        <v>-31482</v>
      </c>
      <c r="ER28" s="230">
        <v>607</v>
      </c>
      <c r="ES28" s="230">
        <v>979</v>
      </c>
      <c r="ET28" s="3">
        <v>8000</v>
      </c>
      <c r="EU28" s="211">
        <v>0</v>
      </c>
      <c r="EV28" s="183">
        <v>24000</v>
      </c>
      <c r="EW28" s="183">
        <v>-1500</v>
      </c>
      <c r="EX28" s="130">
        <v>35000</v>
      </c>
      <c r="EY28" s="183">
        <v>-6500</v>
      </c>
      <c r="EZ28" s="3">
        <v>66202</v>
      </c>
      <c r="FA28" s="3">
        <v>49910</v>
      </c>
      <c r="FB28" s="3">
        <v>16292</v>
      </c>
      <c r="FC28" s="3">
        <v>3623</v>
      </c>
      <c r="FD28" s="226">
        <v>80414</v>
      </c>
      <c r="FE28" s="183">
        <v>64361</v>
      </c>
      <c r="FF28" s="183">
        <v>16053</v>
      </c>
      <c r="FG28" s="183">
        <v>3438</v>
      </c>
      <c r="FH28" s="230">
        <v>99361</v>
      </c>
      <c r="FI28" s="130">
        <v>86308</v>
      </c>
      <c r="FJ28" s="130">
        <v>13053</v>
      </c>
      <c r="FK28" s="130">
        <v>3393</v>
      </c>
      <c r="FL28" s="29">
        <v>4399.0682407750537</v>
      </c>
      <c r="FM28" s="139">
        <v>5175.7111480152143</v>
      </c>
      <c r="FN28" s="139">
        <v>6265.880953668162</v>
      </c>
      <c r="FO28" s="172">
        <f t="shared" si="0"/>
        <v>3109.5121951219512</v>
      </c>
      <c r="FP28" s="170">
        <f t="shared" si="1"/>
        <v>168.10900119597508</v>
      </c>
      <c r="FR28" s="175"/>
      <c r="FS28" s="195"/>
      <c r="FV28" s="175">
        <v>6262</v>
      </c>
      <c r="FW28" s="2">
        <f t="shared" si="2"/>
        <v>-6262</v>
      </c>
      <c r="FZ28" s="186"/>
      <c r="GA28" s="2"/>
      <c r="GB28" s="2"/>
    </row>
    <row r="29" spans="1:184" ht="13" x14ac:dyDescent="0.3">
      <c r="A29" s="77">
        <v>90</v>
      </c>
      <c r="B29" s="75" t="s">
        <v>26</v>
      </c>
      <c r="C29" s="179">
        <v>3329</v>
      </c>
      <c r="D29" s="138"/>
      <c r="E29" s="142">
        <v>65.25</v>
      </c>
      <c r="F29" s="142">
        <v>66.370460129926954</v>
      </c>
      <c r="G29" s="183">
        <v>-3664.463802943827</v>
      </c>
      <c r="H29" s="144"/>
      <c r="I29" s="186"/>
      <c r="K29" s="210">
        <v>37.323921666614609</v>
      </c>
      <c r="L29" s="143">
        <v>1882.2469209972965</v>
      </c>
      <c r="M29" s="146">
        <v>78.526695278969953</v>
      </c>
      <c r="N29" s="143">
        <v>8748.8735355962745</v>
      </c>
      <c r="O29" s="138">
        <v>5898</v>
      </c>
      <c r="P29" s="143">
        <v>4662</v>
      </c>
      <c r="Q29" s="184">
        <v>28358</v>
      </c>
      <c r="R29" s="184">
        <v>-23696</v>
      </c>
      <c r="S29" s="139">
        <v>11515</v>
      </c>
      <c r="T29" s="138">
        <v>13532</v>
      </c>
      <c r="U29" s="151"/>
      <c r="W29" s="183">
        <v>151</v>
      </c>
      <c r="X29" s="183">
        <v>310</v>
      </c>
      <c r="Y29" s="184">
        <v>1812</v>
      </c>
      <c r="Z29" s="130">
        <v>1373</v>
      </c>
      <c r="AA29" s="130">
        <v>68</v>
      </c>
      <c r="AB29" s="130">
        <v>1875</v>
      </c>
      <c r="AC29" s="184">
        <v>-1368</v>
      </c>
      <c r="AD29" s="184">
        <v>157</v>
      </c>
      <c r="AE29" s="183">
        <v>0</v>
      </c>
      <c r="AF29" s="183">
        <v>0</v>
      </c>
      <c r="AG29" s="183">
        <v>-1211</v>
      </c>
      <c r="AH29" s="183">
        <v>1385</v>
      </c>
      <c r="AI29" s="183">
        <v>-200</v>
      </c>
      <c r="AJ29" s="167"/>
      <c r="AK29" s="183">
        <v>-114</v>
      </c>
      <c r="AL29" s="183">
        <v>-13</v>
      </c>
      <c r="AM29" s="180">
        <v>-894</v>
      </c>
      <c r="AN29" s="139">
        <v>11515</v>
      </c>
      <c r="AO29" s="138">
        <v>8128</v>
      </c>
      <c r="AP29" s="184">
        <v>2051</v>
      </c>
      <c r="AQ29" s="138">
        <v>1336</v>
      </c>
      <c r="AR29" s="109">
        <v>21</v>
      </c>
      <c r="AS29" s="144"/>
      <c r="AT29" s="139">
        <v>33</v>
      </c>
      <c r="AU29" s="228">
        <v>3254</v>
      </c>
      <c r="AV29" s="138"/>
      <c r="AW29" s="224">
        <v>0.75776812562646179</v>
      </c>
      <c r="AX29" s="225">
        <v>61.488241955899007</v>
      </c>
      <c r="AY29" s="139">
        <v>-3410.2642901044869</v>
      </c>
      <c r="AZ29" s="144"/>
      <c r="BA29"/>
      <c r="BC29" s="189">
        <v>39.366647298082512</v>
      </c>
      <c r="BD29" s="183">
        <v>1780.5777504609712</v>
      </c>
      <c r="BE29" s="140">
        <v>71.224909066415194</v>
      </c>
      <c r="BF29" s="139">
        <v>9124.7695144437621</v>
      </c>
      <c r="BG29" s="184">
        <v>6098</v>
      </c>
      <c r="BH29" s="216">
        <v>4498</v>
      </c>
      <c r="BI29" s="216">
        <v>28788</v>
      </c>
      <c r="BJ29" s="216">
        <v>-24290</v>
      </c>
      <c r="BK29" s="216">
        <v>11954</v>
      </c>
      <c r="BL29" s="216">
        <v>13570</v>
      </c>
      <c r="BM29" s="151"/>
      <c r="BO29" s="216">
        <v>138</v>
      </c>
      <c r="BP29" s="216">
        <v>314</v>
      </c>
      <c r="BQ29" s="216">
        <v>1686</v>
      </c>
      <c r="BR29" s="216">
        <v>1440</v>
      </c>
      <c r="BS29" s="216">
        <v>0</v>
      </c>
      <c r="BT29" s="216">
        <v>0</v>
      </c>
      <c r="BU29" s="216">
        <v>246</v>
      </c>
      <c r="BV29" s="184">
        <v>157</v>
      </c>
      <c r="BW29" s="183">
        <v>0</v>
      </c>
      <c r="BX29" s="183">
        <v>0</v>
      </c>
      <c r="BY29" s="183">
        <v>403</v>
      </c>
      <c r="BZ29" s="183">
        <v>1788</v>
      </c>
      <c r="CA29" s="183">
        <v>1686</v>
      </c>
      <c r="CB29" s="167"/>
      <c r="CC29" s="183">
        <v>-14</v>
      </c>
      <c r="CD29" s="183">
        <v>-13</v>
      </c>
      <c r="CE29" s="180">
        <v>1132</v>
      </c>
      <c r="CF29" s="139">
        <v>11954</v>
      </c>
      <c r="CG29" s="216">
        <v>8393</v>
      </c>
      <c r="CH29" s="216">
        <v>2190</v>
      </c>
      <c r="CI29" s="216">
        <v>1371</v>
      </c>
      <c r="CJ29" s="212">
        <v>21</v>
      </c>
      <c r="CK29" s="144"/>
      <c r="CL29" s="130">
        <v>26</v>
      </c>
      <c r="CM29" s="228">
        <v>3196</v>
      </c>
      <c r="CN29" s="138"/>
      <c r="CO29" s="142">
        <v>89.379310344827587</v>
      </c>
      <c r="CP29" s="142">
        <v>52.320989252881006</v>
      </c>
      <c r="CQ29" s="183">
        <v>-3010.0125156445556</v>
      </c>
      <c r="CR29" s="144"/>
      <c r="CS29"/>
      <c r="CU29" s="232">
        <v>44.433806536810827</v>
      </c>
      <c r="CV29" s="143">
        <v>1543.4918648310388</v>
      </c>
      <c r="CW29" s="146">
        <v>58.198493761716982</v>
      </c>
      <c r="CX29" s="143">
        <v>9680.2252816020027</v>
      </c>
      <c r="CY29" s="131">
        <v>6139</v>
      </c>
      <c r="CZ29" s="229">
        <v>4161</v>
      </c>
      <c r="DA29" s="229">
        <v>28755</v>
      </c>
      <c r="DB29" s="216">
        <v>-24594</v>
      </c>
      <c r="DC29" s="229">
        <v>12194</v>
      </c>
      <c r="DD29" s="229">
        <v>14537</v>
      </c>
      <c r="DE29" s="151"/>
      <c r="DG29" s="229">
        <v>128</v>
      </c>
      <c r="DH29" s="229">
        <v>311</v>
      </c>
      <c r="DI29" s="229">
        <v>2576</v>
      </c>
      <c r="DJ29" s="229">
        <v>1546</v>
      </c>
      <c r="DK29" s="229">
        <v>575</v>
      </c>
      <c r="DL29" s="229">
        <v>342</v>
      </c>
      <c r="DM29" s="229">
        <v>1263</v>
      </c>
      <c r="DN29" s="131">
        <v>285</v>
      </c>
      <c r="DO29" s="130">
        <v>0</v>
      </c>
      <c r="DP29" s="130">
        <v>0</v>
      </c>
      <c r="DQ29" s="130">
        <v>1548</v>
      </c>
      <c r="DR29" s="130">
        <v>3336</v>
      </c>
      <c r="DS29" s="130">
        <v>2506</v>
      </c>
      <c r="DT29" s="167"/>
      <c r="DU29" s="183">
        <v>-43</v>
      </c>
      <c r="DV29" s="183">
        <v>-13</v>
      </c>
      <c r="DW29" s="180">
        <v>1427</v>
      </c>
      <c r="DX29" s="130">
        <v>12194</v>
      </c>
      <c r="DY29" s="229">
        <v>8430</v>
      </c>
      <c r="DZ29" s="229">
        <v>2534</v>
      </c>
      <c r="EA29" s="229">
        <v>1230</v>
      </c>
      <c r="EB29" s="212">
        <v>21</v>
      </c>
      <c r="EC29" s="208"/>
      <c r="ED29" s="183">
        <v>83.235294117647101</v>
      </c>
      <c r="EE29" s="3">
        <v>20480</v>
      </c>
      <c r="EF29" s="183">
        <v>20748</v>
      </c>
      <c r="EG29" s="130">
        <v>20691</v>
      </c>
      <c r="EH29" s="130"/>
      <c r="EI29" s="130"/>
      <c r="EJ29" s="130"/>
      <c r="EK29" s="183">
        <v>-732</v>
      </c>
      <c r="EL29" s="183">
        <v>31</v>
      </c>
      <c r="EM29" s="183">
        <v>7</v>
      </c>
      <c r="EN29" s="226">
        <v>-571</v>
      </c>
      <c r="EO29" s="226">
        <v>10</v>
      </c>
      <c r="EP29" s="226">
        <v>7</v>
      </c>
      <c r="EQ29" s="226">
        <v>-2135</v>
      </c>
      <c r="ER29" s="230">
        <v>0</v>
      </c>
      <c r="ES29" s="230">
        <v>1056</v>
      </c>
      <c r="ET29" s="3">
        <v>0</v>
      </c>
      <c r="EU29" s="211">
        <v>800</v>
      </c>
      <c r="EV29" s="183">
        <v>0</v>
      </c>
      <c r="EW29" s="183">
        <v>-1200</v>
      </c>
      <c r="EX29" s="130">
        <v>7000</v>
      </c>
      <c r="EY29" s="183">
        <v>-9500</v>
      </c>
      <c r="EZ29" s="3">
        <v>18184</v>
      </c>
      <c r="FA29" s="3">
        <v>1971</v>
      </c>
      <c r="FB29" s="3">
        <v>16213</v>
      </c>
      <c r="FC29" s="3">
        <v>54</v>
      </c>
      <c r="FD29" s="226">
        <v>16971</v>
      </c>
      <c r="FE29" s="183">
        <v>1958</v>
      </c>
      <c r="FF29" s="183">
        <v>15013</v>
      </c>
      <c r="FG29" s="183">
        <v>54</v>
      </c>
      <c r="FH29" s="230">
        <v>14457</v>
      </c>
      <c r="FI29" s="130">
        <v>8944</v>
      </c>
      <c r="FJ29" s="130">
        <v>5513</v>
      </c>
      <c r="FK29" s="130">
        <v>65</v>
      </c>
      <c r="FL29" s="29">
        <v>6389.3060979273059</v>
      </c>
      <c r="FM29" s="139">
        <v>6162.2618315918871</v>
      </c>
      <c r="FN29" s="139">
        <v>5609.8247809762206</v>
      </c>
      <c r="FO29" s="172">
        <f t="shared" si="0"/>
        <v>401.42857142857144</v>
      </c>
      <c r="FP29" s="170">
        <f t="shared" si="1"/>
        <v>125.60343286250672</v>
      </c>
      <c r="FR29" s="175"/>
      <c r="FS29" s="195"/>
      <c r="FV29" s="175">
        <v>225</v>
      </c>
      <c r="FW29" s="2">
        <f t="shared" si="2"/>
        <v>-225</v>
      </c>
      <c r="FZ29" s="186"/>
      <c r="GA29" s="2"/>
      <c r="GB29" s="2"/>
    </row>
    <row r="30" spans="1:184" ht="13" x14ac:dyDescent="0.3">
      <c r="A30" s="77">
        <v>91</v>
      </c>
      <c r="B30" s="75" t="s">
        <v>27</v>
      </c>
      <c r="C30" s="179">
        <v>648042</v>
      </c>
      <c r="D30" s="138"/>
      <c r="E30" s="142">
        <v>6.2652993040955689</v>
      </c>
      <c r="F30" s="142">
        <v>45.776491680558614</v>
      </c>
      <c r="G30" s="183">
        <v>-907.33008045774807</v>
      </c>
      <c r="H30" s="144"/>
      <c r="I30" s="186"/>
      <c r="K30" s="210">
        <v>80.598128626463279</v>
      </c>
      <c r="L30" s="143">
        <v>1915.6443563843084</v>
      </c>
      <c r="M30" s="146">
        <v>90.653901187678102</v>
      </c>
      <c r="N30" s="143">
        <v>7712.9630486912883</v>
      </c>
      <c r="O30" s="138">
        <v>1761795</v>
      </c>
      <c r="P30" s="143">
        <v>1318252</v>
      </c>
      <c r="Q30" s="184">
        <v>4292821</v>
      </c>
      <c r="R30" s="184">
        <v>-2974569</v>
      </c>
      <c r="S30" s="139">
        <v>3416582</v>
      </c>
      <c r="T30" s="138">
        <v>197308</v>
      </c>
      <c r="U30" s="151"/>
      <c r="W30" s="183">
        <v>60870</v>
      </c>
      <c r="X30" s="183">
        <v>51805</v>
      </c>
      <c r="Y30" s="184">
        <v>751996</v>
      </c>
      <c r="Z30" s="130">
        <v>346801</v>
      </c>
      <c r="AA30" s="131">
        <v>0</v>
      </c>
      <c r="AB30" s="131">
        <v>18412</v>
      </c>
      <c r="AC30" s="184">
        <v>386783</v>
      </c>
      <c r="AD30" s="184">
        <v>-1308</v>
      </c>
      <c r="AE30" s="184">
        <v>1015</v>
      </c>
      <c r="AF30" s="184">
        <v>20105</v>
      </c>
      <c r="AG30" s="183">
        <v>406595</v>
      </c>
      <c r="AH30" s="183">
        <v>5752870</v>
      </c>
      <c r="AI30" s="183">
        <v>626404</v>
      </c>
      <c r="AJ30" s="167"/>
      <c r="AK30" s="183">
        <v>-14884</v>
      </c>
      <c r="AL30" s="183">
        <v>-105849</v>
      </c>
      <c r="AM30" s="180">
        <v>150717</v>
      </c>
      <c r="AN30" s="139">
        <v>3416582</v>
      </c>
      <c r="AO30" s="138">
        <v>2580483</v>
      </c>
      <c r="AP30" s="184">
        <v>574753</v>
      </c>
      <c r="AQ30" s="138">
        <v>261346</v>
      </c>
      <c r="AR30" s="109">
        <v>18</v>
      </c>
      <c r="AS30" s="144"/>
      <c r="AT30" s="139">
        <v>1</v>
      </c>
      <c r="AU30" s="228">
        <v>653835</v>
      </c>
      <c r="AV30" s="138"/>
      <c r="AW30" s="224">
        <v>4.2241420385440049</v>
      </c>
      <c r="AX30" s="225">
        <v>43.747175152985299</v>
      </c>
      <c r="AY30" s="139">
        <v>-1006.5383468306225</v>
      </c>
      <c r="AZ30" s="144"/>
      <c r="BA30"/>
      <c r="BC30" s="189">
        <v>81.567122861823918</v>
      </c>
      <c r="BD30" s="183">
        <v>1700.8037195928637</v>
      </c>
      <c r="BE30" s="140">
        <v>76.674200349428887</v>
      </c>
      <c r="BF30" s="139">
        <v>8096.5090580956967</v>
      </c>
      <c r="BG30" s="184">
        <v>1764146</v>
      </c>
      <c r="BH30" s="216">
        <v>1205175</v>
      </c>
      <c r="BI30" s="216">
        <v>4500217</v>
      </c>
      <c r="BJ30" s="216">
        <v>-3118484</v>
      </c>
      <c r="BK30" s="216">
        <v>3493732</v>
      </c>
      <c r="BL30" s="216">
        <v>232776</v>
      </c>
      <c r="BM30" s="151"/>
      <c r="BO30" s="216">
        <v>61221</v>
      </c>
      <c r="BP30" s="216">
        <v>72167</v>
      </c>
      <c r="BQ30" s="216">
        <v>741412</v>
      </c>
      <c r="BR30" s="216">
        <v>364436</v>
      </c>
      <c r="BS30" s="216">
        <v>0</v>
      </c>
      <c r="BT30" s="216">
        <v>0</v>
      </c>
      <c r="BU30" s="216">
        <v>376976</v>
      </c>
      <c r="BV30" s="184">
        <v>-271</v>
      </c>
      <c r="BW30" s="184">
        <v>-2699</v>
      </c>
      <c r="BX30" s="184">
        <v>5222</v>
      </c>
      <c r="BY30" s="183">
        <v>379228</v>
      </c>
      <c r="BZ30" s="183">
        <v>6102098</v>
      </c>
      <c r="CA30" s="183">
        <v>551214</v>
      </c>
      <c r="CB30" s="167"/>
      <c r="CC30" s="183">
        <v>-33664</v>
      </c>
      <c r="CD30" s="183">
        <v>-86541</v>
      </c>
      <c r="CE30" s="180">
        <v>-32942</v>
      </c>
      <c r="CF30" s="139">
        <v>3493732</v>
      </c>
      <c r="CG30" s="216">
        <v>2632935</v>
      </c>
      <c r="CH30" s="216">
        <v>586905</v>
      </c>
      <c r="CI30" s="216">
        <v>273892</v>
      </c>
      <c r="CJ30" s="212">
        <v>18</v>
      </c>
      <c r="CK30" s="144"/>
      <c r="CL30" s="130">
        <v>4</v>
      </c>
      <c r="CM30" s="228">
        <v>656920</v>
      </c>
      <c r="CN30" s="138"/>
      <c r="CO30" s="142">
        <v>9.051615295099019</v>
      </c>
      <c r="CP30" s="142">
        <v>44.652489970300067</v>
      </c>
      <c r="CQ30" s="183">
        <v>-938.3395238385192</v>
      </c>
      <c r="CR30" s="144"/>
      <c r="CS30"/>
      <c r="CU30" s="232">
        <v>80.778299321551842</v>
      </c>
      <c r="CV30" s="143">
        <v>2009.635876514644</v>
      </c>
      <c r="CW30" s="146">
        <v>85.344531072885971</v>
      </c>
      <c r="CX30" s="143">
        <v>8594.7756195579368</v>
      </c>
      <c r="CY30" s="131">
        <v>1847157</v>
      </c>
      <c r="CZ30" s="229">
        <v>1338032</v>
      </c>
      <c r="DA30" s="229">
        <v>4662369</v>
      </c>
      <c r="DB30" s="216">
        <v>-3324337</v>
      </c>
      <c r="DC30" s="229">
        <v>3565598</v>
      </c>
      <c r="DD30" s="229">
        <v>479558</v>
      </c>
      <c r="DE30" s="151"/>
      <c r="DG30" s="229">
        <v>55195</v>
      </c>
      <c r="DH30" s="229">
        <v>87363</v>
      </c>
      <c r="DI30" s="229">
        <v>863377</v>
      </c>
      <c r="DJ30" s="229">
        <v>375929</v>
      </c>
      <c r="DK30" s="229">
        <v>9280</v>
      </c>
      <c r="DL30" s="229">
        <v>0</v>
      </c>
      <c r="DM30" s="229">
        <v>496728</v>
      </c>
      <c r="DN30" s="131">
        <v>-2141</v>
      </c>
      <c r="DO30" s="131">
        <v>2192</v>
      </c>
      <c r="DP30" s="131">
        <v>1822</v>
      </c>
      <c r="DQ30" s="130">
        <v>498601</v>
      </c>
      <c r="DR30" s="130">
        <v>6540699</v>
      </c>
      <c r="DS30" s="130">
        <v>729089</v>
      </c>
      <c r="DT30" s="167"/>
      <c r="DU30" s="183">
        <v>6176</v>
      </c>
      <c r="DV30" s="183">
        <v>-81541</v>
      </c>
      <c r="DW30" s="180">
        <v>-8780</v>
      </c>
      <c r="DX30" s="130">
        <v>3565598</v>
      </c>
      <c r="DY30" s="229">
        <v>2791940</v>
      </c>
      <c r="DZ30" s="229">
        <v>519324</v>
      </c>
      <c r="EA30" s="229">
        <v>254334</v>
      </c>
      <c r="EB30" s="212">
        <v>18</v>
      </c>
      <c r="EC30" s="208"/>
      <c r="ED30" s="183">
        <v>5</v>
      </c>
      <c r="EE30" s="3">
        <v>1772721</v>
      </c>
      <c r="EF30" s="183">
        <v>1967058</v>
      </c>
      <c r="EG30" s="130">
        <v>2014469</v>
      </c>
      <c r="EH30" s="130"/>
      <c r="EI30" s="130"/>
      <c r="EJ30" s="130"/>
      <c r="EK30" s="183">
        <v>-625292</v>
      </c>
      <c r="EL30" s="183">
        <v>11933</v>
      </c>
      <c r="EM30" s="183">
        <v>137672</v>
      </c>
      <c r="EN30" s="226">
        <v>-780382</v>
      </c>
      <c r="EO30" s="226">
        <v>15034</v>
      </c>
      <c r="EP30" s="226">
        <v>181192</v>
      </c>
      <c r="EQ30" s="226">
        <v>-1046592</v>
      </c>
      <c r="ER30" s="230">
        <v>25687</v>
      </c>
      <c r="ES30" s="230">
        <v>283036</v>
      </c>
      <c r="ET30" s="3">
        <v>0</v>
      </c>
      <c r="EU30" s="211">
        <v>0</v>
      </c>
      <c r="EV30" s="183">
        <v>0</v>
      </c>
      <c r="EW30" s="183">
        <v>0</v>
      </c>
      <c r="EX30" s="130">
        <v>60000</v>
      </c>
      <c r="EY30" s="183">
        <v>0</v>
      </c>
      <c r="EZ30" s="3">
        <v>1100107</v>
      </c>
      <c r="FA30" s="3">
        <v>1013566</v>
      </c>
      <c r="FB30" s="3">
        <v>86541</v>
      </c>
      <c r="FC30" s="3">
        <v>1943955</v>
      </c>
      <c r="FD30" s="226">
        <v>1013566</v>
      </c>
      <c r="FE30" s="183">
        <v>932025</v>
      </c>
      <c r="FF30" s="183">
        <v>81541</v>
      </c>
      <c r="FG30" s="183">
        <v>1950332</v>
      </c>
      <c r="FH30" s="230">
        <v>992024</v>
      </c>
      <c r="FI30" s="130">
        <v>913103</v>
      </c>
      <c r="FJ30" s="130">
        <v>78921</v>
      </c>
      <c r="FK30" s="130">
        <v>1894619</v>
      </c>
      <c r="FL30" s="29">
        <v>7690.5864126090592</v>
      </c>
      <c r="FM30" s="139">
        <v>7909.125390962552</v>
      </c>
      <c r="FN30" s="139">
        <v>8451.7429824027276</v>
      </c>
      <c r="FO30" s="172">
        <f t="shared" si="0"/>
        <v>155107.77777777778</v>
      </c>
      <c r="FP30" s="170">
        <f t="shared" si="1"/>
        <v>236.1136482034004</v>
      </c>
      <c r="FR30" s="175"/>
      <c r="FS30" s="195"/>
      <c r="FV30" s="175">
        <v>116591</v>
      </c>
      <c r="FW30" s="2">
        <f t="shared" si="2"/>
        <v>-116591</v>
      </c>
      <c r="FZ30" s="186"/>
      <c r="GA30" s="2"/>
      <c r="GB30" s="2"/>
    </row>
    <row r="31" spans="1:184" ht="13" x14ac:dyDescent="0.3">
      <c r="A31" s="77">
        <v>97</v>
      </c>
      <c r="B31" s="75" t="s">
        <v>29</v>
      </c>
      <c r="C31" s="179">
        <v>2152</v>
      </c>
      <c r="D31" s="138"/>
      <c r="E31" s="142">
        <v>12.693430656934307</v>
      </c>
      <c r="F31" s="142">
        <v>23.151740034856918</v>
      </c>
      <c r="G31" s="183">
        <v>3139.8698884758364</v>
      </c>
      <c r="H31" s="144"/>
      <c r="I31" s="186"/>
      <c r="K31" s="210">
        <v>76.810667191497743</v>
      </c>
      <c r="L31" s="143">
        <v>4936.8029739776948</v>
      </c>
      <c r="M31" s="146">
        <v>227.96942974720756</v>
      </c>
      <c r="N31" s="143">
        <v>7904.275092936803</v>
      </c>
      <c r="O31" s="138">
        <v>3557</v>
      </c>
      <c r="P31" s="143">
        <v>3044</v>
      </c>
      <c r="Q31" s="184">
        <v>16271</v>
      </c>
      <c r="R31" s="184">
        <v>-13227</v>
      </c>
      <c r="S31" s="139">
        <v>7628</v>
      </c>
      <c r="T31" s="138">
        <v>7115</v>
      </c>
      <c r="U31" s="151"/>
      <c r="W31" s="183">
        <v>-4</v>
      </c>
      <c r="X31" s="183">
        <v>223</v>
      </c>
      <c r="Y31" s="184">
        <v>1735</v>
      </c>
      <c r="Z31" s="130">
        <v>1038</v>
      </c>
      <c r="AA31" s="130">
        <v>0</v>
      </c>
      <c r="AB31" s="130">
        <v>0</v>
      </c>
      <c r="AC31" s="184">
        <v>697</v>
      </c>
      <c r="AD31" s="183">
        <v>0</v>
      </c>
      <c r="AE31" s="184">
        <v>0</v>
      </c>
      <c r="AF31" s="183">
        <v>0</v>
      </c>
      <c r="AG31" s="183">
        <v>697</v>
      </c>
      <c r="AH31" s="183">
        <v>5705</v>
      </c>
      <c r="AI31" s="183">
        <v>1599</v>
      </c>
      <c r="AJ31" s="167"/>
      <c r="AK31" s="183">
        <v>-32</v>
      </c>
      <c r="AL31" s="183">
        <v>-133</v>
      </c>
      <c r="AM31" s="180">
        <v>1369</v>
      </c>
      <c r="AN31" s="139">
        <v>7628</v>
      </c>
      <c r="AO31" s="138">
        <v>5457</v>
      </c>
      <c r="AP31" s="184">
        <v>882</v>
      </c>
      <c r="AQ31" s="138">
        <v>1289</v>
      </c>
      <c r="AR31" s="109">
        <v>20</v>
      </c>
      <c r="AS31" s="144"/>
      <c r="AT31" s="139">
        <v>8</v>
      </c>
      <c r="AU31" s="228">
        <v>2136</v>
      </c>
      <c r="AV31" s="138"/>
      <c r="AW31" s="224">
        <v>4.8375325803649005</v>
      </c>
      <c r="AX31" s="225">
        <v>25.127353900749814</v>
      </c>
      <c r="AY31" s="139">
        <v>3723.3146067415732</v>
      </c>
      <c r="AZ31" s="144"/>
      <c r="BA31"/>
      <c r="BC31" s="189">
        <v>76.896695555452567</v>
      </c>
      <c r="BD31" s="183">
        <v>5670.4119850187262</v>
      </c>
      <c r="BE31" s="140">
        <v>246.02815960821414</v>
      </c>
      <c r="BF31" s="139">
        <v>8412.4531835205999</v>
      </c>
      <c r="BG31" s="184">
        <v>3653</v>
      </c>
      <c r="BH31" s="216">
        <v>2784</v>
      </c>
      <c r="BI31" s="216">
        <v>17110</v>
      </c>
      <c r="BJ31" s="216">
        <v>-14326</v>
      </c>
      <c r="BK31" s="216">
        <v>7821</v>
      </c>
      <c r="BL31" s="216">
        <v>6866</v>
      </c>
      <c r="BM31" s="151"/>
      <c r="BO31" s="216">
        <v>-1</v>
      </c>
      <c r="BP31" s="216">
        <v>335</v>
      </c>
      <c r="BQ31" s="216">
        <v>695</v>
      </c>
      <c r="BR31" s="216">
        <v>666</v>
      </c>
      <c r="BS31" s="216">
        <v>952</v>
      </c>
      <c r="BT31" s="216">
        <v>0</v>
      </c>
      <c r="BU31" s="216">
        <v>981</v>
      </c>
      <c r="BV31" s="183">
        <v>0</v>
      </c>
      <c r="BW31" s="184">
        <v>0</v>
      </c>
      <c r="BX31" s="183">
        <v>0</v>
      </c>
      <c r="BY31" s="183">
        <v>981</v>
      </c>
      <c r="BZ31" s="183">
        <v>6686</v>
      </c>
      <c r="CA31" s="183">
        <v>666</v>
      </c>
      <c r="CB31" s="167"/>
      <c r="CC31" s="183">
        <v>19</v>
      </c>
      <c r="CD31" s="183">
        <v>-133</v>
      </c>
      <c r="CE31" s="180">
        <v>1568</v>
      </c>
      <c r="CF31" s="139">
        <v>7821</v>
      </c>
      <c r="CG31" s="216">
        <v>5569</v>
      </c>
      <c r="CH31" s="216">
        <v>935</v>
      </c>
      <c r="CI31" s="216">
        <v>1317</v>
      </c>
      <c r="CJ31" s="212">
        <v>20</v>
      </c>
      <c r="CK31" s="144"/>
      <c r="CL31" s="130">
        <v>82</v>
      </c>
      <c r="CM31" s="228">
        <v>2156</v>
      </c>
      <c r="CN31" s="138"/>
      <c r="CO31" s="142">
        <v>8.3161764705882355</v>
      </c>
      <c r="CP31" s="142">
        <v>22.940395886320911</v>
      </c>
      <c r="CQ31" s="183">
        <v>3662.3376623376626</v>
      </c>
      <c r="CR31" s="144"/>
      <c r="CS31"/>
      <c r="CU31" s="232">
        <v>78.075607727146689</v>
      </c>
      <c r="CV31" s="143">
        <v>5389.1465677179967</v>
      </c>
      <c r="CW31" s="146">
        <v>223.14838200473559</v>
      </c>
      <c r="CX31" s="143">
        <v>8814.9350649350654</v>
      </c>
      <c r="CY31" s="131">
        <v>3656</v>
      </c>
      <c r="CZ31" s="229">
        <v>2779</v>
      </c>
      <c r="DA31" s="229">
        <v>17390</v>
      </c>
      <c r="DB31" s="216">
        <v>-14611</v>
      </c>
      <c r="DC31" s="229">
        <v>7863</v>
      </c>
      <c r="DD31" s="229">
        <v>7444</v>
      </c>
      <c r="DE31" s="151"/>
      <c r="DG31" s="229">
        <v>-3</v>
      </c>
      <c r="DH31" s="229">
        <v>435</v>
      </c>
      <c r="DI31" s="229">
        <v>1128</v>
      </c>
      <c r="DJ31" s="229">
        <v>826</v>
      </c>
      <c r="DK31" s="229">
        <v>0</v>
      </c>
      <c r="DL31" s="229">
        <v>0</v>
      </c>
      <c r="DM31" s="229">
        <v>302</v>
      </c>
      <c r="DN31" s="130">
        <v>0</v>
      </c>
      <c r="DO31" s="131">
        <v>0</v>
      </c>
      <c r="DP31" s="130">
        <v>0</v>
      </c>
      <c r="DQ31" s="130">
        <v>302</v>
      </c>
      <c r="DR31" s="130">
        <v>6988</v>
      </c>
      <c r="DS31" s="130">
        <v>1128</v>
      </c>
      <c r="DT31" s="167"/>
      <c r="DU31" s="183">
        <v>-195</v>
      </c>
      <c r="DV31" s="183">
        <v>-133</v>
      </c>
      <c r="DW31" s="180">
        <v>-50</v>
      </c>
      <c r="DX31" s="130">
        <v>7863</v>
      </c>
      <c r="DY31" s="229">
        <v>5595</v>
      </c>
      <c r="DZ31" s="229">
        <v>1068</v>
      </c>
      <c r="EA31" s="229">
        <v>1200</v>
      </c>
      <c r="EB31" s="212">
        <v>20</v>
      </c>
      <c r="EC31" s="208"/>
      <c r="ED31" s="183">
        <v>219.22794117647001</v>
      </c>
      <c r="EE31" s="3">
        <v>11129</v>
      </c>
      <c r="EF31" s="183">
        <v>11862</v>
      </c>
      <c r="EG31" s="130">
        <v>12160</v>
      </c>
      <c r="EH31" s="130"/>
      <c r="EI31" s="130"/>
      <c r="EJ31" s="130"/>
      <c r="EK31" s="183">
        <v>-601</v>
      </c>
      <c r="EL31" s="183">
        <v>60</v>
      </c>
      <c r="EM31" s="183">
        <v>311</v>
      </c>
      <c r="EN31" s="226">
        <v>-654</v>
      </c>
      <c r="EO31" s="226">
        <v>21</v>
      </c>
      <c r="EP31" s="226">
        <v>1535</v>
      </c>
      <c r="EQ31" s="226">
        <v>-1470</v>
      </c>
      <c r="ER31" s="230">
        <v>277</v>
      </c>
      <c r="ES31" s="230">
        <v>15</v>
      </c>
      <c r="ET31" s="3">
        <v>0</v>
      </c>
      <c r="EU31" s="211">
        <v>0</v>
      </c>
      <c r="EV31" s="183">
        <v>0</v>
      </c>
      <c r="EW31" s="183">
        <v>0</v>
      </c>
      <c r="EX31" s="130">
        <v>0</v>
      </c>
      <c r="EY31" s="183">
        <v>0</v>
      </c>
      <c r="EZ31" s="3">
        <v>300</v>
      </c>
      <c r="FA31" s="3">
        <v>167</v>
      </c>
      <c r="FB31" s="3">
        <v>133</v>
      </c>
      <c r="FC31" s="3">
        <v>38</v>
      </c>
      <c r="FD31" s="226">
        <v>166</v>
      </c>
      <c r="FE31" s="183">
        <v>33</v>
      </c>
      <c r="FF31" s="183">
        <v>133</v>
      </c>
      <c r="FG31" s="183">
        <v>38</v>
      </c>
      <c r="FH31" s="230">
        <v>33</v>
      </c>
      <c r="FI31" s="130">
        <v>0</v>
      </c>
      <c r="FJ31" s="130">
        <v>33</v>
      </c>
      <c r="FK31" s="130">
        <v>38</v>
      </c>
      <c r="FL31" s="29">
        <v>3827.1375464684015</v>
      </c>
      <c r="FM31" s="139">
        <v>3953.1835205992511</v>
      </c>
      <c r="FN31" s="139">
        <v>3645.6400742115029</v>
      </c>
      <c r="FO31" s="172">
        <f t="shared" si="0"/>
        <v>279.75</v>
      </c>
      <c r="FP31" s="170">
        <f t="shared" si="1"/>
        <v>129.75417439703153</v>
      </c>
      <c r="FR31" s="175"/>
      <c r="FS31" s="195"/>
      <c r="FV31" s="175">
        <v>301</v>
      </c>
      <c r="FW31" s="2">
        <f t="shared" si="2"/>
        <v>-301</v>
      </c>
      <c r="FZ31" s="186"/>
      <c r="GA31" s="2"/>
      <c r="GB31" s="2"/>
    </row>
    <row r="32" spans="1:184" ht="13" x14ac:dyDescent="0.3">
      <c r="A32" s="77">
        <v>98</v>
      </c>
      <c r="B32" s="75" t="s">
        <v>30</v>
      </c>
      <c r="C32" s="179">
        <v>23602</v>
      </c>
      <c r="D32" s="138"/>
      <c r="E32" s="142">
        <v>1.0988378782648718</v>
      </c>
      <c r="F32" s="142">
        <v>47.410293764055275</v>
      </c>
      <c r="G32" s="183">
        <v>-2227.8196762986186</v>
      </c>
      <c r="H32" s="144"/>
      <c r="I32" s="186"/>
      <c r="K32" s="210">
        <v>56.358569256954276</v>
      </c>
      <c r="L32" s="143">
        <v>407.59257690026266</v>
      </c>
      <c r="M32" s="146">
        <v>23.364896427359412</v>
      </c>
      <c r="N32" s="143">
        <v>6367.2993814083557</v>
      </c>
      <c r="O32" s="138">
        <v>31085</v>
      </c>
      <c r="P32" s="143">
        <v>15322</v>
      </c>
      <c r="Q32" s="184">
        <v>132514</v>
      </c>
      <c r="R32" s="184">
        <v>-117192</v>
      </c>
      <c r="S32" s="139">
        <v>89740</v>
      </c>
      <c r="T32" s="138">
        <v>36417</v>
      </c>
      <c r="U32" s="151"/>
      <c r="W32" s="183">
        <v>-620</v>
      </c>
      <c r="X32" s="183">
        <v>560</v>
      </c>
      <c r="Y32" s="184">
        <v>8905</v>
      </c>
      <c r="Z32" s="130">
        <v>10437</v>
      </c>
      <c r="AA32" s="130">
        <v>0</v>
      </c>
      <c r="AB32" s="130">
        <v>583</v>
      </c>
      <c r="AC32" s="184">
        <v>-2115</v>
      </c>
      <c r="AD32" s="184">
        <v>6</v>
      </c>
      <c r="AE32" s="183">
        <v>0</v>
      </c>
      <c r="AF32" s="183">
        <v>0</v>
      </c>
      <c r="AG32" s="183">
        <v>-2109</v>
      </c>
      <c r="AH32" s="183">
        <v>15851</v>
      </c>
      <c r="AI32" s="183">
        <v>7372</v>
      </c>
      <c r="AJ32" s="167"/>
      <c r="AK32" s="183">
        <v>1639</v>
      </c>
      <c r="AL32" s="183">
        <v>-8046</v>
      </c>
      <c r="AM32" s="180">
        <v>3504</v>
      </c>
      <c r="AN32" s="139">
        <v>89740</v>
      </c>
      <c r="AO32" s="138">
        <v>81565</v>
      </c>
      <c r="AP32" s="184">
        <v>2799</v>
      </c>
      <c r="AQ32" s="138">
        <v>5376</v>
      </c>
      <c r="AR32" s="109">
        <v>21</v>
      </c>
      <c r="AS32" s="144"/>
      <c r="AT32" s="139">
        <v>80</v>
      </c>
      <c r="AU32" s="228">
        <v>23410</v>
      </c>
      <c r="AV32" s="138"/>
      <c r="AW32" s="224">
        <v>1.3528696548171046</v>
      </c>
      <c r="AX32" s="225">
        <v>42.659191362693328</v>
      </c>
      <c r="AY32" s="139">
        <v>-2104.3571123451516</v>
      </c>
      <c r="AZ32" s="144"/>
      <c r="BA32"/>
      <c r="BC32" s="189">
        <v>58.594851548966687</v>
      </c>
      <c r="BD32" s="183">
        <v>419.13712088850917</v>
      </c>
      <c r="BE32" s="140">
        <v>22.917458550101426</v>
      </c>
      <c r="BF32" s="139">
        <v>6675.4805638615981</v>
      </c>
      <c r="BG32" s="184">
        <v>31886</v>
      </c>
      <c r="BH32" s="216">
        <v>13768</v>
      </c>
      <c r="BI32" s="216">
        <v>137188</v>
      </c>
      <c r="BJ32" s="216">
        <v>-123350</v>
      </c>
      <c r="BK32" s="216">
        <v>92604</v>
      </c>
      <c r="BL32" s="216">
        <v>37747</v>
      </c>
      <c r="BM32" s="151"/>
      <c r="BO32" s="216">
        <v>-653</v>
      </c>
      <c r="BP32" s="216">
        <v>1199</v>
      </c>
      <c r="BQ32" s="216">
        <v>7547</v>
      </c>
      <c r="BR32" s="216">
        <v>8992</v>
      </c>
      <c r="BS32" s="216">
        <v>787</v>
      </c>
      <c r="BT32" s="216">
        <v>0</v>
      </c>
      <c r="BU32" s="216">
        <v>-658</v>
      </c>
      <c r="BV32" s="184">
        <v>6</v>
      </c>
      <c r="BW32" s="183">
        <v>0</v>
      </c>
      <c r="BX32" s="183">
        <v>0</v>
      </c>
      <c r="BY32" s="183">
        <v>-652</v>
      </c>
      <c r="BZ32" s="183">
        <v>16371</v>
      </c>
      <c r="CA32" s="183">
        <v>7714</v>
      </c>
      <c r="CB32" s="167"/>
      <c r="CC32" s="183">
        <v>2434</v>
      </c>
      <c r="CD32" s="183">
        <v>-8912</v>
      </c>
      <c r="CE32" s="180">
        <v>1907</v>
      </c>
      <c r="CF32" s="139">
        <v>92604</v>
      </c>
      <c r="CG32" s="216">
        <v>83879</v>
      </c>
      <c r="CH32" s="216">
        <v>2949</v>
      </c>
      <c r="CI32" s="216">
        <v>5776</v>
      </c>
      <c r="CJ32" s="212">
        <v>21</v>
      </c>
      <c r="CK32" s="144"/>
      <c r="CL32" s="130">
        <v>84</v>
      </c>
      <c r="CM32" s="228">
        <v>23251</v>
      </c>
      <c r="CN32" s="138"/>
      <c r="CO32" s="142">
        <v>2.1092075206466352</v>
      </c>
      <c r="CP32" s="142">
        <v>42.015158942644895</v>
      </c>
      <c r="CQ32" s="183">
        <v>-1899.4021762504838</v>
      </c>
      <c r="CR32" s="144"/>
      <c r="CS32"/>
      <c r="CU32" s="232">
        <v>60.212590434023966</v>
      </c>
      <c r="CV32" s="143">
        <v>776.00963399423676</v>
      </c>
      <c r="CW32" s="146">
        <v>39.548735594909949</v>
      </c>
      <c r="CX32" s="143">
        <v>7161.8855103006326</v>
      </c>
      <c r="CY32" s="131">
        <v>32173</v>
      </c>
      <c r="CZ32" s="229">
        <v>12710</v>
      </c>
      <c r="DA32" s="229">
        <v>136342</v>
      </c>
      <c r="DB32" s="216">
        <v>-123632</v>
      </c>
      <c r="DC32" s="229">
        <v>98231</v>
      </c>
      <c r="DD32" s="229">
        <v>48255</v>
      </c>
      <c r="DE32" s="151"/>
      <c r="DG32" s="229">
        <v>-323</v>
      </c>
      <c r="DH32" s="229">
        <v>1148</v>
      </c>
      <c r="DI32" s="229">
        <v>23679</v>
      </c>
      <c r="DJ32" s="229">
        <v>9495</v>
      </c>
      <c r="DK32" s="229">
        <v>0</v>
      </c>
      <c r="DL32" s="229">
        <v>0</v>
      </c>
      <c r="DM32" s="229">
        <v>14184</v>
      </c>
      <c r="DN32" s="131">
        <v>6</v>
      </c>
      <c r="DO32" s="130">
        <v>-6000</v>
      </c>
      <c r="DP32" s="130">
        <v>0</v>
      </c>
      <c r="DQ32" s="130">
        <v>8190</v>
      </c>
      <c r="DR32" s="130">
        <v>24560</v>
      </c>
      <c r="DS32" s="130">
        <v>23585</v>
      </c>
      <c r="DT32" s="167"/>
      <c r="DU32" s="183">
        <v>-2241</v>
      </c>
      <c r="DV32" s="183">
        <v>-11054</v>
      </c>
      <c r="DW32" s="180">
        <v>5104</v>
      </c>
      <c r="DX32" s="130">
        <v>98231</v>
      </c>
      <c r="DY32" s="229">
        <v>89541</v>
      </c>
      <c r="DZ32" s="229">
        <v>3406</v>
      </c>
      <c r="EA32" s="229">
        <v>5284</v>
      </c>
      <c r="EB32" s="212">
        <v>21</v>
      </c>
      <c r="EC32" s="208"/>
      <c r="ED32" s="183">
        <v>33.875</v>
      </c>
      <c r="EE32" s="3">
        <v>90432</v>
      </c>
      <c r="EF32" s="183">
        <v>95795</v>
      </c>
      <c r="EG32" s="130">
        <v>95234</v>
      </c>
      <c r="EH32" s="130"/>
      <c r="EI32" s="130"/>
      <c r="EJ32" s="130"/>
      <c r="EK32" s="183">
        <v>-8954</v>
      </c>
      <c r="EL32" s="183">
        <v>0</v>
      </c>
      <c r="EM32" s="183">
        <v>5086</v>
      </c>
      <c r="EN32" s="226">
        <v>-9542</v>
      </c>
      <c r="EO32" s="226">
        <v>0</v>
      </c>
      <c r="EP32" s="226">
        <v>3735</v>
      </c>
      <c r="EQ32" s="226">
        <v>-18805</v>
      </c>
      <c r="ER32" s="230">
        <v>90</v>
      </c>
      <c r="ES32" s="230">
        <v>234</v>
      </c>
      <c r="ET32" s="3">
        <v>0</v>
      </c>
      <c r="EU32" s="211">
        <v>0</v>
      </c>
      <c r="EV32" s="183">
        <v>1250</v>
      </c>
      <c r="EW32" s="183">
        <v>3000</v>
      </c>
      <c r="EX32" s="130">
        <v>19000</v>
      </c>
      <c r="EY32" s="183">
        <v>-3000</v>
      </c>
      <c r="EZ32" s="3">
        <v>45145</v>
      </c>
      <c r="FA32" s="3">
        <v>37601</v>
      </c>
      <c r="FB32" s="3">
        <v>7544</v>
      </c>
      <c r="FC32" s="3">
        <v>1948</v>
      </c>
      <c r="FD32" s="226">
        <v>40484</v>
      </c>
      <c r="FE32" s="183">
        <v>26730</v>
      </c>
      <c r="FF32" s="183">
        <v>13754</v>
      </c>
      <c r="FG32" s="183">
        <v>1761</v>
      </c>
      <c r="FH32" s="230">
        <v>45429</v>
      </c>
      <c r="FI32" s="130">
        <v>37336</v>
      </c>
      <c r="FJ32" s="130">
        <v>8093</v>
      </c>
      <c r="FK32" s="130">
        <v>1760</v>
      </c>
      <c r="FL32" s="29">
        <v>2780.4423353953057</v>
      </c>
      <c r="FM32" s="139">
        <v>2525.3310551046561</v>
      </c>
      <c r="FN32" s="139">
        <v>2682.7663326308543</v>
      </c>
      <c r="FO32" s="172">
        <f t="shared" si="0"/>
        <v>4263.8571428571431</v>
      </c>
      <c r="FP32" s="170">
        <f t="shared" si="1"/>
        <v>183.38381759309894</v>
      </c>
      <c r="FR32" s="175"/>
      <c r="FS32" s="195"/>
      <c r="FV32" s="175">
        <v>3784</v>
      </c>
      <c r="FW32" s="2">
        <f t="shared" si="2"/>
        <v>-3784</v>
      </c>
      <c r="FZ32" s="186"/>
      <c r="GA32" s="2"/>
      <c r="GB32" s="2"/>
    </row>
    <row r="33" spans="1:184" ht="13" x14ac:dyDescent="0.3">
      <c r="A33" s="77">
        <v>99</v>
      </c>
      <c r="B33" s="75" t="s">
        <v>31</v>
      </c>
      <c r="C33" s="179">
        <v>1666</v>
      </c>
      <c r="D33" s="138"/>
      <c r="E33" s="142">
        <v>-2.7681660899653977</v>
      </c>
      <c r="F33" s="142">
        <v>40.015104789476993</v>
      </c>
      <c r="G33" s="183">
        <v>-3163.2653061224491</v>
      </c>
      <c r="H33" s="144"/>
      <c r="I33" s="186"/>
      <c r="K33" s="210">
        <v>26.116718876899874</v>
      </c>
      <c r="L33" s="143">
        <v>411.76470588235293</v>
      </c>
      <c r="M33" s="146">
        <v>14.563485139300877</v>
      </c>
      <c r="N33" s="143">
        <v>10319.927971188476</v>
      </c>
      <c r="O33" s="138">
        <v>6397</v>
      </c>
      <c r="P33" s="143">
        <v>6131</v>
      </c>
      <c r="Q33" s="184">
        <v>16695</v>
      </c>
      <c r="R33" s="184">
        <v>-10564</v>
      </c>
      <c r="S33" s="139">
        <v>5274</v>
      </c>
      <c r="T33" s="138">
        <v>4484</v>
      </c>
      <c r="U33" s="151"/>
      <c r="W33" s="183">
        <v>-25</v>
      </c>
      <c r="X33" s="183">
        <v>5</v>
      </c>
      <c r="Y33" s="184">
        <v>-826</v>
      </c>
      <c r="Z33" s="130">
        <v>286</v>
      </c>
      <c r="AA33" s="130">
        <v>0</v>
      </c>
      <c r="AB33" s="130">
        <v>0</v>
      </c>
      <c r="AC33" s="184">
        <v>-1112</v>
      </c>
      <c r="AD33" s="184">
        <v>5</v>
      </c>
      <c r="AE33" s="184">
        <v>0</v>
      </c>
      <c r="AF33" s="183">
        <v>0</v>
      </c>
      <c r="AG33" s="183">
        <v>-1107</v>
      </c>
      <c r="AH33" s="183">
        <v>-2641</v>
      </c>
      <c r="AI33" s="183">
        <v>-827</v>
      </c>
      <c r="AJ33" s="167"/>
      <c r="AK33" s="183">
        <v>393</v>
      </c>
      <c r="AL33" s="183">
        <v>-263</v>
      </c>
      <c r="AM33" s="180">
        <v>-1025</v>
      </c>
      <c r="AN33" s="139">
        <v>5274</v>
      </c>
      <c r="AO33" s="138">
        <v>3950</v>
      </c>
      <c r="AP33" s="184">
        <v>691</v>
      </c>
      <c r="AQ33" s="138">
        <v>633</v>
      </c>
      <c r="AR33" s="109">
        <v>22</v>
      </c>
      <c r="AS33" s="144"/>
      <c r="AT33" s="139">
        <v>294</v>
      </c>
      <c r="AU33" s="228">
        <v>1620</v>
      </c>
      <c r="AV33" s="138"/>
      <c r="AW33" s="224">
        <v>1.2452830188679245</v>
      </c>
      <c r="AX33" s="225">
        <v>37.466542534621205</v>
      </c>
      <c r="AY33" s="139">
        <v>-2843.8271604938273</v>
      </c>
      <c r="AZ33" s="144"/>
      <c r="BA33"/>
      <c r="BC33" s="189">
        <v>30.07698145939499</v>
      </c>
      <c r="BD33" s="183">
        <v>752.46913580246905</v>
      </c>
      <c r="BE33" s="140">
        <v>26.266898872424584</v>
      </c>
      <c r="BF33" s="139">
        <v>10456.172839506173</v>
      </c>
      <c r="BG33" s="184">
        <v>6078</v>
      </c>
      <c r="BH33" s="216">
        <v>6439</v>
      </c>
      <c r="BI33" s="216">
        <v>16375</v>
      </c>
      <c r="BJ33" s="216">
        <v>-9929</v>
      </c>
      <c r="BK33" s="216">
        <v>5851</v>
      </c>
      <c r="BL33" s="216">
        <v>4896</v>
      </c>
      <c r="BM33" s="151"/>
      <c r="BO33" s="216">
        <v>-23</v>
      </c>
      <c r="BP33" s="216">
        <v>6</v>
      </c>
      <c r="BQ33" s="216">
        <v>801</v>
      </c>
      <c r="BR33" s="216">
        <v>278</v>
      </c>
      <c r="BS33" s="216">
        <v>0</v>
      </c>
      <c r="BT33" s="216">
        <v>0</v>
      </c>
      <c r="BU33" s="216">
        <v>523</v>
      </c>
      <c r="BV33" s="184">
        <v>5</v>
      </c>
      <c r="BW33" s="184">
        <v>0</v>
      </c>
      <c r="BX33" s="183">
        <v>0</v>
      </c>
      <c r="BY33" s="183">
        <v>528</v>
      </c>
      <c r="BZ33" s="183">
        <v>-2112</v>
      </c>
      <c r="CA33" s="183">
        <v>393</v>
      </c>
      <c r="CB33" s="167"/>
      <c r="CC33" s="183">
        <v>-211</v>
      </c>
      <c r="CD33" s="183">
        <v>-262</v>
      </c>
      <c r="CE33" s="180">
        <v>664</v>
      </c>
      <c r="CF33" s="139">
        <v>5851</v>
      </c>
      <c r="CG33" s="216">
        <v>4529</v>
      </c>
      <c r="CH33" s="216">
        <v>659</v>
      </c>
      <c r="CI33" s="216">
        <v>663</v>
      </c>
      <c r="CJ33" s="212">
        <v>22.5</v>
      </c>
      <c r="CK33" s="144"/>
      <c r="CL33" s="130">
        <v>35</v>
      </c>
      <c r="CM33" s="228">
        <v>1595</v>
      </c>
      <c r="CN33" s="138"/>
      <c r="CO33" s="142">
        <v>2.9570707070707072</v>
      </c>
      <c r="CP33" s="142">
        <v>44.153638971836756</v>
      </c>
      <c r="CQ33" s="183">
        <v>-3608.7774294670849</v>
      </c>
      <c r="CR33" s="144"/>
      <c r="CS33"/>
      <c r="CU33" s="232">
        <v>30.810117302052785</v>
      </c>
      <c r="CV33" s="143">
        <v>614.4200626959248</v>
      </c>
      <c r="CW33" s="146">
        <v>19.119140520605058</v>
      </c>
      <c r="CX33" s="143">
        <v>11729.780564263323</v>
      </c>
      <c r="CY33" s="131">
        <v>5871</v>
      </c>
      <c r="CZ33" s="229">
        <v>6102</v>
      </c>
      <c r="DA33" s="229">
        <v>15923</v>
      </c>
      <c r="DB33" s="216">
        <v>-9821</v>
      </c>
      <c r="DC33" s="229">
        <v>5824</v>
      </c>
      <c r="DD33" s="229">
        <v>5161</v>
      </c>
      <c r="DE33" s="151"/>
      <c r="DG33" s="229">
        <v>-23</v>
      </c>
      <c r="DH33" s="229">
        <v>5</v>
      </c>
      <c r="DI33" s="229">
        <v>1146</v>
      </c>
      <c r="DJ33" s="229">
        <v>557</v>
      </c>
      <c r="DK33" s="229">
        <v>0</v>
      </c>
      <c r="DL33" s="229">
        <v>0</v>
      </c>
      <c r="DM33" s="229">
        <v>589</v>
      </c>
      <c r="DN33" s="131">
        <v>5</v>
      </c>
      <c r="DO33" s="131">
        <v>0</v>
      </c>
      <c r="DP33" s="130">
        <v>0</v>
      </c>
      <c r="DQ33" s="130">
        <v>594</v>
      </c>
      <c r="DR33" s="130">
        <v>-1519</v>
      </c>
      <c r="DS33" s="130">
        <v>1144</v>
      </c>
      <c r="DT33" s="167"/>
      <c r="DU33" s="183">
        <v>-193</v>
      </c>
      <c r="DV33" s="183">
        <v>-371</v>
      </c>
      <c r="DW33" s="180">
        <v>-1160</v>
      </c>
      <c r="DX33" s="130">
        <v>5824</v>
      </c>
      <c r="DY33" s="229">
        <v>4507</v>
      </c>
      <c r="DZ33" s="229">
        <v>692</v>
      </c>
      <c r="EA33" s="229">
        <v>625</v>
      </c>
      <c r="EB33" s="212">
        <v>22.5</v>
      </c>
      <c r="EC33" s="208"/>
      <c r="ED33" s="183">
        <v>124.53676470588201</v>
      </c>
      <c r="EE33" s="3">
        <v>9137</v>
      </c>
      <c r="EF33" s="183">
        <v>9165</v>
      </c>
      <c r="EG33" s="130">
        <v>8657</v>
      </c>
      <c r="EH33" s="130"/>
      <c r="EI33" s="130">
        <v>230</v>
      </c>
      <c r="EJ33" s="130"/>
      <c r="EK33" s="183">
        <v>-208</v>
      </c>
      <c r="EL33" s="183">
        <v>8</v>
      </c>
      <c r="EM33" s="183">
        <v>2</v>
      </c>
      <c r="EN33" s="226">
        <v>-284</v>
      </c>
      <c r="EO33" s="226">
        <v>0</v>
      </c>
      <c r="EP33" s="226">
        <v>555</v>
      </c>
      <c r="EQ33" s="226">
        <v>-2398</v>
      </c>
      <c r="ER33" s="230">
        <v>0</v>
      </c>
      <c r="ES33" s="230">
        <v>94</v>
      </c>
      <c r="ET33" s="3">
        <v>0</v>
      </c>
      <c r="EU33" s="211">
        <v>0</v>
      </c>
      <c r="EV33" s="183">
        <v>2000</v>
      </c>
      <c r="EW33" s="183">
        <v>0</v>
      </c>
      <c r="EX33" s="130">
        <v>1700</v>
      </c>
      <c r="EY33" s="183">
        <v>-1000</v>
      </c>
      <c r="EZ33" s="3">
        <v>2829</v>
      </c>
      <c r="FA33" s="3">
        <v>1567</v>
      </c>
      <c r="FB33" s="3">
        <v>1262</v>
      </c>
      <c r="FC33" s="3">
        <v>1</v>
      </c>
      <c r="FD33" s="226">
        <v>4566</v>
      </c>
      <c r="FE33" s="183">
        <v>3195</v>
      </c>
      <c r="FF33" s="183">
        <v>1371</v>
      </c>
      <c r="FG33" s="183">
        <v>1</v>
      </c>
      <c r="FH33" s="230">
        <v>4895</v>
      </c>
      <c r="FI33" s="130">
        <v>4368</v>
      </c>
      <c r="FJ33" s="130">
        <v>527</v>
      </c>
      <c r="FK33" s="130">
        <v>0</v>
      </c>
      <c r="FL33" s="29">
        <v>2899.7599039615848</v>
      </c>
      <c r="FM33" s="139">
        <v>4048.7654320987654</v>
      </c>
      <c r="FN33" s="139">
        <v>4284.6394984326025</v>
      </c>
      <c r="FO33" s="172">
        <f t="shared" si="0"/>
        <v>200.3111111111111</v>
      </c>
      <c r="FP33" s="170">
        <f t="shared" si="1"/>
        <v>125.586903517938</v>
      </c>
      <c r="FR33" s="175"/>
      <c r="FS33" s="195"/>
      <c r="FV33" s="175">
        <v>435</v>
      </c>
      <c r="FW33" s="2">
        <f t="shared" si="2"/>
        <v>-435</v>
      </c>
      <c r="FZ33" s="186"/>
      <c r="GA33" s="2"/>
      <c r="GB33" s="2"/>
    </row>
    <row r="34" spans="1:184" ht="13" x14ac:dyDescent="0.3">
      <c r="A34" s="77">
        <v>102</v>
      </c>
      <c r="B34" s="75" t="s">
        <v>32</v>
      </c>
      <c r="C34" s="179">
        <v>10091</v>
      </c>
      <c r="D34" s="138"/>
      <c r="E34" s="142">
        <v>8.4052323963261899E-2</v>
      </c>
      <c r="F34" s="142">
        <v>53.901141762995529</v>
      </c>
      <c r="G34" s="183">
        <v>-2876.7218313348526</v>
      </c>
      <c r="H34" s="144"/>
      <c r="I34" s="186"/>
      <c r="K34" s="210">
        <v>49.396719703715178</v>
      </c>
      <c r="L34" s="143">
        <v>565.85075810127842</v>
      </c>
      <c r="M34" s="146">
        <v>26.059041236339997</v>
      </c>
      <c r="N34" s="143">
        <v>7925.6763452581508</v>
      </c>
      <c r="O34" s="138">
        <v>31593</v>
      </c>
      <c r="P34" s="143">
        <v>11583</v>
      </c>
      <c r="Q34" s="184">
        <v>70540</v>
      </c>
      <c r="R34" s="184">
        <v>-58957</v>
      </c>
      <c r="S34" s="139">
        <v>32665</v>
      </c>
      <c r="T34" s="138">
        <v>26259</v>
      </c>
      <c r="U34" s="151"/>
      <c r="W34" s="183">
        <v>-193</v>
      </c>
      <c r="X34" s="183">
        <v>335</v>
      </c>
      <c r="Y34" s="184">
        <v>109</v>
      </c>
      <c r="Z34" s="130">
        <v>3715</v>
      </c>
      <c r="AA34" s="130">
        <v>0</v>
      </c>
      <c r="AB34" s="131">
        <v>0</v>
      </c>
      <c r="AC34" s="184">
        <v>-3606</v>
      </c>
      <c r="AD34" s="183">
        <v>17</v>
      </c>
      <c r="AE34" s="183">
        <v>0</v>
      </c>
      <c r="AF34" s="183">
        <v>0</v>
      </c>
      <c r="AG34" s="183">
        <v>-3589</v>
      </c>
      <c r="AH34" s="183">
        <v>4648</v>
      </c>
      <c r="AI34" s="183">
        <v>-331</v>
      </c>
      <c r="AJ34" s="167"/>
      <c r="AK34" s="183">
        <v>344</v>
      </c>
      <c r="AL34" s="183">
        <v>-3400</v>
      </c>
      <c r="AM34" s="180">
        <v>-4933</v>
      </c>
      <c r="AN34" s="139">
        <v>32665</v>
      </c>
      <c r="AO34" s="138">
        <v>28530</v>
      </c>
      <c r="AP34" s="184">
        <v>1921</v>
      </c>
      <c r="AQ34" s="138">
        <v>2214</v>
      </c>
      <c r="AR34" s="109">
        <v>20.75</v>
      </c>
      <c r="AS34" s="144"/>
      <c r="AT34" s="139">
        <v>248</v>
      </c>
      <c r="AU34" s="228">
        <v>10044</v>
      </c>
      <c r="AV34" s="138"/>
      <c r="AW34" s="224">
        <v>0.18108556529983408</v>
      </c>
      <c r="AX34" s="225">
        <v>53.985113204615757</v>
      </c>
      <c r="AY34" s="139">
        <v>-3113.9984070091596</v>
      </c>
      <c r="AZ34" s="144"/>
      <c r="BA34"/>
      <c r="BC34" s="189">
        <v>46.580582155548925</v>
      </c>
      <c r="BD34" s="183">
        <v>350.75667064914381</v>
      </c>
      <c r="BE34" s="140">
        <v>16.443039269593239</v>
      </c>
      <c r="BF34" s="139">
        <v>7786.0414177618477</v>
      </c>
      <c r="BG34" s="184">
        <v>31568</v>
      </c>
      <c r="BH34" s="216">
        <v>11100</v>
      </c>
      <c r="BI34" s="216">
        <v>70130</v>
      </c>
      <c r="BJ34" s="216">
        <v>-59030</v>
      </c>
      <c r="BK34" s="216">
        <v>33622</v>
      </c>
      <c r="BL34" s="216">
        <v>26079</v>
      </c>
      <c r="BM34" s="151"/>
      <c r="BO34" s="216">
        <v>-217</v>
      </c>
      <c r="BP34" s="216">
        <v>93</v>
      </c>
      <c r="BQ34" s="216">
        <v>547</v>
      </c>
      <c r="BR34" s="216">
        <v>4456</v>
      </c>
      <c r="BS34" s="216">
        <v>0</v>
      </c>
      <c r="BT34" s="216">
        <v>0</v>
      </c>
      <c r="BU34" s="216">
        <v>-3909</v>
      </c>
      <c r="BV34" s="183">
        <v>15</v>
      </c>
      <c r="BW34" s="183">
        <v>0</v>
      </c>
      <c r="BX34" s="183">
        <v>0</v>
      </c>
      <c r="BY34" s="183">
        <v>-3894</v>
      </c>
      <c r="BZ34" s="183">
        <v>725</v>
      </c>
      <c r="CA34" s="183">
        <v>533</v>
      </c>
      <c r="CB34" s="167"/>
      <c r="CC34" s="183">
        <v>-233</v>
      </c>
      <c r="CD34" s="183">
        <v>-4248</v>
      </c>
      <c r="CE34" s="180">
        <v>-2350</v>
      </c>
      <c r="CF34" s="139">
        <v>33622</v>
      </c>
      <c r="CG34" s="216">
        <v>29044</v>
      </c>
      <c r="CH34" s="216">
        <v>2108</v>
      </c>
      <c r="CI34" s="216">
        <v>2470</v>
      </c>
      <c r="CJ34" s="212">
        <v>21</v>
      </c>
      <c r="CK34" s="144"/>
      <c r="CL34" s="130">
        <v>212</v>
      </c>
      <c r="CM34" s="228">
        <v>9937</v>
      </c>
      <c r="CN34" s="138"/>
      <c r="CO34" s="142">
        <v>2.2578293736501078</v>
      </c>
      <c r="CP34" s="142">
        <v>51.596524288107204</v>
      </c>
      <c r="CQ34" s="183">
        <v>-2802.7573714400723</v>
      </c>
      <c r="CR34" s="144"/>
      <c r="CS34"/>
      <c r="CU34" s="232">
        <v>48.880630032740463</v>
      </c>
      <c r="CV34" s="143">
        <v>902.4856596558318</v>
      </c>
      <c r="CW34" s="146">
        <v>42.535507764277824</v>
      </c>
      <c r="CX34" s="143">
        <v>7744.2890208312365</v>
      </c>
      <c r="CY34" s="131">
        <v>31766</v>
      </c>
      <c r="CZ34" s="229">
        <v>10473</v>
      </c>
      <c r="DA34" s="229">
        <v>68148</v>
      </c>
      <c r="DB34" s="216">
        <v>-57675</v>
      </c>
      <c r="DC34" s="229">
        <v>35970</v>
      </c>
      <c r="DD34" s="229">
        <v>29973</v>
      </c>
      <c r="DE34" s="151"/>
      <c r="DG34" s="229">
        <v>-180</v>
      </c>
      <c r="DH34" s="229">
        <v>93</v>
      </c>
      <c r="DI34" s="229">
        <v>8181</v>
      </c>
      <c r="DJ34" s="229">
        <v>3855</v>
      </c>
      <c r="DK34" s="229">
        <v>0</v>
      </c>
      <c r="DL34" s="229">
        <v>0</v>
      </c>
      <c r="DM34" s="229">
        <v>4326</v>
      </c>
      <c r="DN34" s="130">
        <v>14</v>
      </c>
      <c r="DO34" s="130">
        <v>0</v>
      </c>
      <c r="DP34" s="130">
        <v>0</v>
      </c>
      <c r="DQ34" s="130">
        <v>4340</v>
      </c>
      <c r="DR34" s="130">
        <v>5065</v>
      </c>
      <c r="DS34" s="130">
        <v>7955</v>
      </c>
      <c r="DT34" s="167"/>
      <c r="DU34" s="183">
        <v>3721</v>
      </c>
      <c r="DV34" s="183">
        <v>-3522</v>
      </c>
      <c r="DW34" s="180">
        <v>3231</v>
      </c>
      <c r="DX34" s="130">
        <v>35970</v>
      </c>
      <c r="DY34" s="229">
        <v>31147</v>
      </c>
      <c r="DZ34" s="229">
        <v>2209</v>
      </c>
      <c r="EA34" s="229">
        <v>2614</v>
      </c>
      <c r="EB34" s="212">
        <v>21</v>
      </c>
      <c r="EC34" s="208"/>
      <c r="ED34" s="183">
        <v>76.183823529411796</v>
      </c>
      <c r="EE34" s="3">
        <v>28583</v>
      </c>
      <c r="EF34" s="183">
        <v>28534</v>
      </c>
      <c r="EG34" s="130">
        <v>26368</v>
      </c>
      <c r="EH34" s="130"/>
      <c r="EI34" s="130"/>
      <c r="EJ34" s="130"/>
      <c r="EK34" s="183">
        <v>-5696</v>
      </c>
      <c r="EL34" s="183">
        <v>416</v>
      </c>
      <c r="EM34" s="183">
        <v>678</v>
      </c>
      <c r="EN34" s="226">
        <v>-3578</v>
      </c>
      <c r="EO34" s="226">
        <v>432</v>
      </c>
      <c r="EP34" s="226">
        <v>263</v>
      </c>
      <c r="EQ34" s="226">
        <v>-5097</v>
      </c>
      <c r="ER34" s="230">
        <v>158</v>
      </c>
      <c r="ES34" s="230">
        <v>215</v>
      </c>
      <c r="ET34" s="3">
        <v>5500</v>
      </c>
      <c r="EU34" s="211">
        <v>0</v>
      </c>
      <c r="EV34" s="183">
        <v>6500</v>
      </c>
      <c r="EW34" s="183">
        <v>0</v>
      </c>
      <c r="EX34" s="130">
        <v>4700</v>
      </c>
      <c r="EY34" s="183">
        <v>0</v>
      </c>
      <c r="EZ34" s="3">
        <v>25430</v>
      </c>
      <c r="FA34" s="3">
        <v>21517</v>
      </c>
      <c r="FB34" s="3">
        <v>3913</v>
      </c>
      <c r="FC34" s="3">
        <v>140</v>
      </c>
      <c r="FD34" s="226">
        <v>27681</v>
      </c>
      <c r="FE34" s="183">
        <v>23771</v>
      </c>
      <c r="FF34" s="183">
        <v>3910</v>
      </c>
      <c r="FG34" s="183">
        <v>140</v>
      </c>
      <c r="FH34" s="230">
        <v>28859</v>
      </c>
      <c r="FI34" s="130">
        <v>25440</v>
      </c>
      <c r="FJ34" s="130">
        <v>3419</v>
      </c>
      <c r="FK34" s="130">
        <v>140</v>
      </c>
      <c r="FL34" s="29">
        <v>3040.3329699732435</v>
      </c>
      <c r="FM34" s="139">
        <v>3260.454002389486</v>
      </c>
      <c r="FN34" s="139">
        <v>3382.2079098319409</v>
      </c>
      <c r="FO34" s="172">
        <f t="shared" si="0"/>
        <v>1483.1904761904761</v>
      </c>
      <c r="FP34" s="170">
        <f t="shared" si="1"/>
        <v>149.25938172390823</v>
      </c>
      <c r="FR34" s="175"/>
      <c r="FS34" s="195"/>
      <c r="FV34" s="175">
        <v>1775</v>
      </c>
      <c r="FW34" s="2">
        <f t="shared" si="2"/>
        <v>-1775</v>
      </c>
      <c r="FZ34" s="186"/>
      <c r="GA34" s="2"/>
      <c r="GB34" s="2"/>
    </row>
    <row r="35" spans="1:184" ht="13" x14ac:dyDescent="0.3">
      <c r="A35" s="77">
        <v>103</v>
      </c>
      <c r="B35" s="75" t="s">
        <v>33</v>
      </c>
      <c r="C35" s="179">
        <v>2235</v>
      </c>
      <c r="D35" s="138"/>
      <c r="E35" s="142">
        <v>-0.39094650205761317</v>
      </c>
      <c r="F35" s="142">
        <v>53.918409324648614</v>
      </c>
      <c r="G35" s="183">
        <v>-2576.7337807606264</v>
      </c>
      <c r="H35" s="144"/>
      <c r="I35" s="186"/>
      <c r="K35" s="210">
        <v>44.628273725711068</v>
      </c>
      <c r="L35" s="143">
        <v>212.08053691275165</v>
      </c>
      <c r="M35" s="146">
        <v>9.8273217835842086</v>
      </c>
      <c r="N35" s="143">
        <v>7876.9574944071592</v>
      </c>
      <c r="O35" s="138">
        <v>3596</v>
      </c>
      <c r="P35" s="143">
        <v>1512</v>
      </c>
      <c r="Q35" s="184">
        <v>14787</v>
      </c>
      <c r="R35" s="184">
        <v>-13275</v>
      </c>
      <c r="S35" s="139">
        <v>7252</v>
      </c>
      <c r="T35" s="138">
        <v>5821</v>
      </c>
      <c r="U35" s="151"/>
      <c r="W35" s="183">
        <v>-26</v>
      </c>
      <c r="X35" s="183">
        <v>2</v>
      </c>
      <c r="Y35" s="184">
        <v>-226</v>
      </c>
      <c r="Z35" s="130">
        <v>324</v>
      </c>
      <c r="AA35" s="130">
        <v>662</v>
      </c>
      <c r="AB35" s="130">
        <v>0</v>
      </c>
      <c r="AC35" s="184">
        <v>112</v>
      </c>
      <c r="AD35" s="184">
        <v>2</v>
      </c>
      <c r="AE35" s="183">
        <v>0</v>
      </c>
      <c r="AF35" s="183">
        <v>0</v>
      </c>
      <c r="AG35" s="183">
        <v>114</v>
      </c>
      <c r="AH35" s="183">
        <v>-278</v>
      </c>
      <c r="AI35" s="183">
        <v>415</v>
      </c>
      <c r="AJ35" s="167"/>
      <c r="AK35" s="183">
        <v>-124</v>
      </c>
      <c r="AL35" s="183">
        <v>-450</v>
      </c>
      <c r="AM35" s="180">
        <v>-1802</v>
      </c>
      <c r="AN35" s="139">
        <v>7252</v>
      </c>
      <c r="AO35" s="138">
        <v>6326</v>
      </c>
      <c r="AP35" s="184">
        <v>379</v>
      </c>
      <c r="AQ35" s="138">
        <v>547</v>
      </c>
      <c r="AR35" s="109">
        <v>22</v>
      </c>
      <c r="AS35" s="144"/>
      <c r="AT35" s="139">
        <v>275</v>
      </c>
      <c r="AU35" s="228">
        <v>2184</v>
      </c>
      <c r="AV35" s="138"/>
      <c r="AW35" s="224">
        <v>0.38734590821327791</v>
      </c>
      <c r="AX35" s="225">
        <v>48.503158472946993</v>
      </c>
      <c r="AY35" s="139">
        <v>-2325.0915750915751</v>
      </c>
      <c r="AZ35" s="144"/>
      <c r="BA35"/>
      <c r="BC35" s="189">
        <v>46.792707629979745</v>
      </c>
      <c r="BD35" s="183">
        <v>350.7326007326007</v>
      </c>
      <c r="BE35" s="140">
        <v>18.25</v>
      </c>
      <c r="BF35" s="139">
        <v>7014.6520146520143</v>
      </c>
      <c r="BG35" s="184">
        <v>3461</v>
      </c>
      <c r="BH35" s="216">
        <v>1095</v>
      </c>
      <c r="BI35" s="216">
        <v>14250</v>
      </c>
      <c r="BJ35" s="216">
        <v>-13155</v>
      </c>
      <c r="BK35" s="216">
        <v>7768</v>
      </c>
      <c r="BL35" s="216">
        <v>5701</v>
      </c>
      <c r="BM35" s="151"/>
      <c r="BO35" s="216">
        <v>-39</v>
      </c>
      <c r="BP35" s="216">
        <v>3</v>
      </c>
      <c r="BQ35" s="216">
        <v>278</v>
      </c>
      <c r="BR35" s="216">
        <v>378</v>
      </c>
      <c r="BS35" s="216">
        <v>0</v>
      </c>
      <c r="BT35" s="216">
        <v>0</v>
      </c>
      <c r="BU35" s="216">
        <v>-100</v>
      </c>
      <c r="BV35" s="184">
        <v>0</v>
      </c>
      <c r="BW35" s="183">
        <v>0</v>
      </c>
      <c r="BX35" s="183">
        <v>0</v>
      </c>
      <c r="BY35" s="183">
        <v>-100</v>
      </c>
      <c r="BZ35" s="183">
        <v>-378</v>
      </c>
      <c r="CA35" s="183">
        <v>283</v>
      </c>
      <c r="CB35" s="167"/>
      <c r="CC35" s="183">
        <v>411</v>
      </c>
      <c r="CD35" s="183">
        <v>-650</v>
      </c>
      <c r="CE35" s="180">
        <v>946</v>
      </c>
      <c r="CF35" s="139">
        <v>7768</v>
      </c>
      <c r="CG35" s="216">
        <v>6757</v>
      </c>
      <c r="CH35" s="216">
        <v>409</v>
      </c>
      <c r="CI35" s="216">
        <v>602</v>
      </c>
      <c r="CJ35" s="212">
        <v>22</v>
      </c>
      <c r="CK35" s="144"/>
      <c r="CL35" s="130">
        <v>169</v>
      </c>
      <c r="CM35" s="228">
        <v>2174</v>
      </c>
      <c r="CN35" s="138"/>
      <c r="CO35" s="142">
        <v>1.3815028901734103</v>
      </c>
      <c r="CP35" s="142">
        <v>42.373331562520754</v>
      </c>
      <c r="CQ35" s="183">
        <v>-1983.4406623735051</v>
      </c>
      <c r="CR35" s="144"/>
      <c r="CS35"/>
      <c r="CU35" s="232">
        <v>51.492650401575993</v>
      </c>
      <c r="CV35" s="143">
        <v>314.16743330266792</v>
      </c>
      <c r="CW35" s="146">
        <v>16.579874966746477</v>
      </c>
      <c r="CX35" s="143">
        <v>6916.2833486660529</v>
      </c>
      <c r="CY35" s="131">
        <v>3224</v>
      </c>
      <c r="CZ35" s="229">
        <v>1240</v>
      </c>
      <c r="DA35" s="229">
        <v>14115</v>
      </c>
      <c r="DB35" s="216">
        <v>-12875</v>
      </c>
      <c r="DC35" s="229">
        <v>7583</v>
      </c>
      <c r="DD35" s="229">
        <v>6236</v>
      </c>
      <c r="DE35" s="151"/>
      <c r="DG35" s="229">
        <v>-33</v>
      </c>
      <c r="DH35" s="229">
        <v>3</v>
      </c>
      <c r="DI35" s="229">
        <v>914</v>
      </c>
      <c r="DJ35" s="229">
        <v>355</v>
      </c>
      <c r="DK35" s="229">
        <v>0</v>
      </c>
      <c r="DL35" s="229">
        <v>0</v>
      </c>
      <c r="DM35" s="229">
        <v>559</v>
      </c>
      <c r="DN35" s="131">
        <v>2</v>
      </c>
      <c r="DO35" s="130">
        <v>0</v>
      </c>
      <c r="DP35" s="130">
        <v>0</v>
      </c>
      <c r="DQ35" s="130">
        <v>561</v>
      </c>
      <c r="DR35" s="130">
        <v>184</v>
      </c>
      <c r="DS35" s="130">
        <v>893</v>
      </c>
      <c r="DT35" s="167"/>
      <c r="DU35" s="183">
        <v>-167</v>
      </c>
      <c r="DV35" s="183">
        <v>-650</v>
      </c>
      <c r="DW35" s="180">
        <v>705</v>
      </c>
      <c r="DX35" s="130">
        <v>7583</v>
      </c>
      <c r="DY35" s="229">
        <v>6564</v>
      </c>
      <c r="DZ35" s="229">
        <v>458</v>
      </c>
      <c r="EA35" s="229">
        <v>561</v>
      </c>
      <c r="EB35" s="212">
        <v>22</v>
      </c>
      <c r="EC35" s="208"/>
      <c r="ED35" s="183">
        <v>250.45588235294099</v>
      </c>
      <c r="EE35" s="3">
        <v>10070</v>
      </c>
      <c r="EF35" s="183">
        <v>9827</v>
      </c>
      <c r="EG35" s="130">
        <v>9813</v>
      </c>
      <c r="EH35" s="130"/>
      <c r="EI35" s="130">
        <v>310</v>
      </c>
      <c r="EJ35" s="130"/>
      <c r="EK35" s="183">
        <v>-2323</v>
      </c>
      <c r="EL35" s="183">
        <v>105</v>
      </c>
      <c r="EM35" s="183">
        <v>1</v>
      </c>
      <c r="EN35" s="226">
        <v>-372</v>
      </c>
      <c r="EO35" s="226">
        <v>35</v>
      </c>
      <c r="EP35" s="226">
        <v>1000</v>
      </c>
      <c r="EQ35" s="226">
        <v>-229</v>
      </c>
      <c r="ER35" s="230">
        <v>14</v>
      </c>
      <c r="ES35" s="230">
        <v>27</v>
      </c>
      <c r="ET35" s="3">
        <v>2000</v>
      </c>
      <c r="EU35" s="211">
        <v>200</v>
      </c>
      <c r="EV35" s="183">
        <v>0</v>
      </c>
      <c r="EW35" s="183">
        <v>0</v>
      </c>
      <c r="EX35" s="130">
        <v>0</v>
      </c>
      <c r="EY35" s="183">
        <v>0</v>
      </c>
      <c r="EZ35" s="3">
        <v>6525</v>
      </c>
      <c r="FA35" s="3">
        <v>4875</v>
      </c>
      <c r="FB35" s="3">
        <v>1650</v>
      </c>
      <c r="FC35" s="3">
        <v>377</v>
      </c>
      <c r="FD35" s="226">
        <v>5875</v>
      </c>
      <c r="FE35" s="183">
        <v>4225</v>
      </c>
      <c r="FF35" s="183">
        <v>1650</v>
      </c>
      <c r="FG35" s="183">
        <v>373</v>
      </c>
      <c r="FH35" s="230">
        <v>5225</v>
      </c>
      <c r="FI35" s="130">
        <v>3575</v>
      </c>
      <c r="FJ35" s="130">
        <v>1650</v>
      </c>
      <c r="FK35" s="130">
        <v>369</v>
      </c>
      <c r="FL35" s="29">
        <v>3998.2102908277402</v>
      </c>
      <c r="FM35" s="139">
        <v>3704.2124542124543</v>
      </c>
      <c r="FN35" s="139">
        <v>3332.5666973321067</v>
      </c>
      <c r="FO35" s="172">
        <f t="shared" si="0"/>
        <v>298.36363636363637</v>
      </c>
      <c r="FP35" s="170">
        <f t="shared" si="1"/>
        <v>137.24178305595049</v>
      </c>
      <c r="FR35" s="175"/>
      <c r="FS35" s="195"/>
      <c r="FV35" s="175">
        <v>958</v>
      </c>
      <c r="FW35" s="2">
        <f t="shared" si="2"/>
        <v>-958</v>
      </c>
      <c r="FZ35" s="186"/>
      <c r="GA35" s="2"/>
      <c r="GB35" s="2"/>
    </row>
    <row r="36" spans="1:184" ht="13" x14ac:dyDescent="0.3">
      <c r="A36" s="77">
        <v>105</v>
      </c>
      <c r="B36" s="75" t="s">
        <v>34</v>
      </c>
      <c r="C36" s="179">
        <v>2287</v>
      </c>
      <c r="D36" s="138"/>
      <c r="E36" s="142">
        <v>1.7907444668008048</v>
      </c>
      <c r="F36" s="142">
        <v>26.69128438195332</v>
      </c>
      <c r="G36" s="183">
        <v>-1425.010931351115</v>
      </c>
      <c r="H36" s="144"/>
      <c r="I36" s="186"/>
      <c r="K36" s="210">
        <v>67.011031343022239</v>
      </c>
      <c r="L36" s="143">
        <v>714.91036292085698</v>
      </c>
      <c r="M36" s="146">
        <v>27.726026760825125</v>
      </c>
      <c r="N36" s="143">
        <v>9411.4560559685178</v>
      </c>
      <c r="O36" s="138">
        <v>4204</v>
      </c>
      <c r="P36" s="143">
        <v>2063</v>
      </c>
      <c r="Q36" s="184">
        <v>20238</v>
      </c>
      <c r="R36" s="184">
        <v>-18175</v>
      </c>
      <c r="S36" s="139">
        <v>7717</v>
      </c>
      <c r="T36" s="138">
        <v>11343</v>
      </c>
      <c r="U36" s="151"/>
      <c r="W36" s="183">
        <v>-14</v>
      </c>
      <c r="X36" s="183">
        <v>2</v>
      </c>
      <c r="Y36" s="184">
        <v>873</v>
      </c>
      <c r="Z36" s="130">
        <v>486</v>
      </c>
      <c r="AA36" s="131">
        <v>0</v>
      </c>
      <c r="AB36" s="131">
        <v>0</v>
      </c>
      <c r="AC36" s="184">
        <v>387</v>
      </c>
      <c r="AD36" s="184">
        <v>52</v>
      </c>
      <c r="AE36" s="184">
        <v>0</v>
      </c>
      <c r="AF36" s="183">
        <v>0</v>
      </c>
      <c r="AG36" s="183">
        <v>439</v>
      </c>
      <c r="AH36" s="183">
        <v>580</v>
      </c>
      <c r="AI36" s="183">
        <v>878</v>
      </c>
      <c r="AJ36" s="167"/>
      <c r="AK36" s="183">
        <v>80</v>
      </c>
      <c r="AL36" s="183">
        <v>-480</v>
      </c>
      <c r="AM36" s="180">
        <v>168</v>
      </c>
      <c r="AN36" s="139">
        <v>7717</v>
      </c>
      <c r="AO36" s="138">
        <v>5826</v>
      </c>
      <c r="AP36" s="184">
        <v>701</v>
      </c>
      <c r="AQ36" s="138">
        <v>1190</v>
      </c>
      <c r="AR36" s="109">
        <v>21.75</v>
      </c>
      <c r="AS36" s="144"/>
      <c r="AT36" s="139">
        <v>76</v>
      </c>
      <c r="AU36" s="228">
        <v>2271</v>
      </c>
      <c r="AV36" s="138"/>
      <c r="AW36" s="224">
        <v>2.1468624833110814</v>
      </c>
      <c r="AX36" s="225">
        <v>21.481412117239444</v>
      </c>
      <c r="AY36" s="139">
        <v>-1128.1373844121533</v>
      </c>
      <c r="AZ36" s="144"/>
      <c r="BA36"/>
      <c r="BC36" s="189">
        <v>72.25973712769806</v>
      </c>
      <c r="BD36" s="183">
        <v>586.08542492294146</v>
      </c>
      <c r="BE36" s="140">
        <v>22.92661632845682</v>
      </c>
      <c r="BF36" s="139">
        <v>9330.6913254073097</v>
      </c>
      <c r="BG36" s="184">
        <v>4287</v>
      </c>
      <c r="BH36" s="216">
        <v>2209</v>
      </c>
      <c r="BI36" s="216">
        <v>20376</v>
      </c>
      <c r="BJ36" s="216">
        <v>-18167</v>
      </c>
      <c r="BK36" s="216">
        <v>8145</v>
      </c>
      <c r="BL36" s="216">
        <v>11004</v>
      </c>
      <c r="BM36" s="151"/>
      <c r="BO36" s="216">
        <v>-11</v>
      </c>
      <c r="BP36" s="216">
        <v>20</v>
      </c>
      <c r="BQ36" s="216">
        <v>991</v>
      </c>
      <c r="BR36" s="216">
        <v>488</v>
      </c>
      <c r="BS36" s="216">
        <v>0</v>
      </c>
      <c r="BT36" s="216">
        <v>0</v>
      </c>
      <c r="BU36" s="216">
        <v>503</v>
      </c>
      <c r="BV36" s="184">
        <v>52</v>
      </c>
      <c r="BW36" s="184">
        <v>0</v>
      </c>
      <c r="BX36" s="183">
        <v>0</v>
      </c>
      <c r="BY36" s="183">
        <v>555</v>
      </c>
      <c r="BZ36" s="183">
        <v>1136</v>
      </c>
      <c r="CA36" s="183">
        <v>986</v>
      </c>
      <c r="CB36" s="167"/>
      <c r="CC36" s="183">
        <v>49</v>
      </c>
      <c r="CD36" s="183">
        <v>-465</v>
      </c>
      <c r="CE36" s="180">
        <v>693</v>
      </c>
      <c r="CF36" s="139">
        <v>8145</v>
      </c>
      <c r="CG36" s="216">
        <v>6197</v>
      </c>
      <c r="CH36" s="216">
        <v>772</v>
      </c>
      <c r="CI36" s="216">
        <v>1176</v>
      </c>
      <c r="CJ36" s="212">
        <v>21.75</v>
      </c>
      <c r="CK36" s="144"/>
      <c r="CL36" s="130">
        <v>47</v>
      </c>
      <c r="CM36" s="228">
        <v>2199</v>
      </c>
      <c r="CN36" s="138"/>
      <c r="CO36" s="142">
        <v>1.8396624472573839</v>
      </c>
      <c r="CP36" s="142">
        <v>22.414439756211909</v>
      </c>
      <c r="CQ36" s="183">
        <v>-884.9477035015916</v>
      </c>
      <c r="CR36" s="144"/>
      <c r="CS36"/>
      <c r="CU36" s="232">
        <v>72.069447681193196</v>
      </c>
      <c r="CV36" s="143">
        <v>961.80081855388812</v>
      </c>
      <c r="CW36" s="146">
        <v>36.122549248982267</v>
      </c>
      <c r="CX36" s="143">
        <v>9718.5084129149618</v>
      </c>
      <c r="CY36" s="131">
        <v>4132</v>
      </c>
      <c r="CZ36" s="229">
        <v>2245</v>
      </c>
      <c r="DA36" s="229">
        <v>20473</v>
      </c>
      <c r="DB36" s="216">
        <v>-18228</v>
      </c>
      <c r="DC36" s="229">
        <v>8051</v>
      </c>
      <c r="DD36" s="229">
        <v>11034</v>
      </c>
      <c r="DE36" s="151"/>
      <c r="DG36" s="229">
        <v>-2</v>
      </c>
      <c r="DH36" s="229">
        <v>8</v>
      </c>
      <c r="DI36" s="229">
        <v>863</v>
      </c>
      <c r="DJ36" s="229">
        <v>477</v>
      </c>
      <c r="DK36" s="229">
        <v>0</v>
      </c>
      <c r="DL36" s="229">
        <v>0</v>
      </c>
      <c r="DM36" s="229">
        <v>386</v>
      </c>
      <c r="DN36" s="131">
        <v>52</v>
      </c>
      <c r="DO36" s="131">
        <v>0</v>
      </c>
      <c r="DP36" s="130">
        <v>0</v>
      </c>
      <c r="DQ36" s="130">
        <v>438</v>
      </c>
      <c r="DR36" s="130">
        <v>1573</v>
      </c>
      <c r="DS36" s="130">
        <v>860</v>
      </c>
      <c r="DT36" s="167"/>
      <c r="DU36" s="183">
        <v>-26</v>
      </c>
      <c r="DV36" s="183">
        <v>-465</v>
      </c>
      <c r="DW36" s="180">
        <v>620</v>
      </c>
      <c r="DX36" s="130">
        <v>8051</v>
      </c>
      <c r="DY36" s="229">
        <v>6147</v>
      </c>
      <c r="DZ36" s="229">
        <v>845</v>
      </c>
      <c r="EA36" s="229">
        <v>1059</v>
      </c>
      <c r="EB36" s="212">
        <v>21.75</v>
      </c>
      <c r="EC36" s="208"/>
      <c r="ED36" s="183">
        <v>258.51470588235298</v>
      </c>
      <c r="EE36" s="3">
        <v>14189</v>
      </c>
      <c r="EF36" s="183">
        <v>14267</v>
      </c>
      <c r="EG36" s="130">
        <v>14701</v>
      </c>
      <c r="EH36" s="130"/>
      <c r="EI36" s="130"/>
      <c r="EJ36" s="130">
        <v>315</v>
      </c>
      <c r="EK36" s="183">
        <v>-785</v>
      </c>
      <c r="EL36" s="183">
        <v>57</v>
      </c>
      <c r="EM36" s="183">
        <v>18</v>
      </c>
      <c r="EN36" s="226">
        <v>-333</v>
      </c>
      <c r="EO36" s="226">
        <v>34</v>
      </c>
      <c r="EP36" s="226">
        <v>6</v>
      </c>
      <c r="EQ36" s="226">
        <v>-422</v>
      </c>
      <c r="ER36" s="230">
        <v>179</v>
      </c>
      <c r="ES36" s="230">
        <v>3</v>
      </c>
      <c r="ET36" s="3">
        <v>0</v>
      </c>
      <c r="EU36" s="211">
        <v>0</v>
      </c>
      <c r="EV36" s="183">
        <v>0</v>
      </c>
      <c r="EW36" s="183">
        <v>0</v>
      </c>
      <c r="EX36" s="130">
        <v>0</v>
      </c>
      <c r="EY36" s="183">
        <v>0</v>
      </c>
      <c r="EZ36" s="3">
        <v>3710</v>
      </c>
      <c r="FA36" s="3">
        <v>1344</v>
      </c>
      <c r="FB36" s="3">
        <v>2366</v>
      </c>
      <c r="FC36" s="3">
        <v>0</v>
      </c>
      <c r="FD36" s="226">
        <v>3243</v>
      </c>
      <c r="FE36" s="183">
        <v>878</v>
      </c>
      <c r="FF36" s="183">
        <v>2365</v>
      </c>
      <c r="FG36" s="183">
        <v>0</v>
      </c>
      <c r="FH36" s="230">
        <v>2778</v>
      </c>
      <c r="FI36" s="130">
        <v>413</v>
      </c>
      <c r="FJ36" s="130">
        <v>2365</v>
      </c>
      <c r="FK36" s="130">
        <v>0</v>
      </c>
      <c r="FL36" s="29">
        <v>4822.4748578924355</v>
      </c>
      <c r="FM36" s="139">
        <v>5142.2280933509464</v>
      </c>
      <c r="FN36" s="139">
        <v>5429.7407912687586</v>
      </c>
      <c r="FO36" s="172">
        <f t="shared" si="0"/>
        <v>282.62068965517244</v>
      </c>
      <c r="FP36" s="170">
        <f t="shared" si="1"/>
        <v>128.5223691019429</v>
      </c>
      <c r="FR36" s="175"/>
      <c r="FS36" s="195"/>
      <c r="FV36" s="175">
        <v>734</v>
      </c>
      <c r="FW36" s="2">
        <f t="shared" si="2"/>
        <v>-734</v>
      </c>
      <c r="FZ36" s="186"/>
      <c r="GA36" s="2"/>
      <c r="GB36" s="2"/>
    </row>
    <row r="37" spans="1:184" ht="13" x14ac:dyDescent="0.3">
      <c r="A37" s="77">
        <v>106</v>
      </c>
      <c r="B37" s="75" t="s">
        <v>35</v>
      </c>
      <c r="C37" s="179">
        <v>46504</v>
      </c>
      <c r="D37" s="138"/>
      <c r="E37" s="142">
        <v>1.5534559920437594</v>
      </c>
      <c r="F37" s="142">
        <v>39.062940651891672</v>
      </c>
      <c r="G37" s="183">
        <v>-1973.0130741441596</v>
      </c>
      <c r="H37" s="144"/>
      <c r="I37" s="186"/>
      <c r="K37" s="210">
        <v>55.50698023531973</v>
      </c>
      <c r="L37" s="143">
        <v>976.00206433855158</v>
      </c>
      <c r="M37" s="146">
        <v>40.676542009492316</v>
      </c>
      <c r="N37" s="143">
        <v>8757.8917942542575</v>
      </c>
      <c r="O37" s="138">
        <v>121194</v>
      </c>
      <c r="P37" s="143">
        <v>145372</v>
      </c>
      <c r="Q37" s="184">
        <v>378991</v>
      </c>
      <c r="R37" s="184">
        <v>-233619</v>
      </c>
      <c r="S37" s="139">
        <v>199497</v>
      </c>
      <c r="T37" s="138">
        <v>51806</v>
      </c>
      <c r="U37" s="151"/>
      <c r="W37" s="183">
        <v>-1770</v>
      </c>
      <c r="X37" s="183">
        <v>995</v>
      </c>
      <c r="Y37" s="184">
        <v>16909</v>
      </c>
      <c r="Z37" s="130">
        <v>19199</v>
      </c>
      <c r="AA37" s="130">
        <v>0</v>
      </c>
      <c r="AB37" s="130">
        <v>0</v>
      </c>
      <c r="AC37" s="184">
        <v>-2290</v>
      </c>
      <c r="AD37" s="184">
        <v>0</v>
      </c>
      <c r="AE37" s="183">
        <v>0</v>
      </c>
      <c r="AF37" s="183">
        <v>0</v>
      </c>
      <c r="AG37" s="183">
        <v>-2290</v>
      </c>
      <c r="AH37" s="183">
        <v>27870</v>
      </c>
      <c r="AI37" s="183">
        <v>10629</v>
      </c>
      <c r="AJ37" s="167"/>
      <c r="AK37" s="183">
        <v>1939</v>
      </c>
      <c r="AL37" s="183">
        <v>-10231</v>
      </c>
      <c r="AM37" s="180">
        <v>1771</v>
      </c>
      <c r="AN37" s="139">
        <v>199497</v>
      </c>
      <c r="AO37" s="138">
        <v>174257</v>
      </c>
      <c r="AP37" s="184">
        <v>13476</v>
      </c>
      <c r="AQ37" s="138">
        <v>11764</v>
      </c>
      <c r="AR37" s="109">
        <v>19.75</v>
      </c>
      <c r="AS37" s="144"/>
      <c r="AT37" s="139">
        <v>89</v>
      </c>
      <c r="AU37" s="228">
        <v>46470</v>
      </c>
      <c r="AV37" s="138"/>
      <c r="AW37" s="224">
        <v>8.3582594613539271E-2</v>
      </c>
      <c r="AX37" s="225">
        <v>66.094230264078078</v>
      </c>
      <c r="AY37" s="139">
        <v>-2797.2455347536043</v>
      </c>
      <c r="AZ37" s="144"/>
      <c r="BA37"/>
      <c r="BC37" s="189">
        <v>47.212595440515514</v>
      </c>
      <c r="BD37" s="183">
        <v>1114.2027114267271</v>
      </c>
      <c r="BE37" s="140">
        <v>55.470580811045622</v>
      </c>
      <c r="BF37" s="139">
        <v>7331.5257155153859</v>
      </c>
      <c r="BG37" s="184">
        <v>79193</v>
      </c>
      <c r="BH37" s="216">
        <v>41121</v>
      </c>
      <c r="BI37" s="216">
        <v>295137</v>
      </c>
      <c r="BJ37" s="216">
        <v>-251376</v>
      </c>
      <c r="BK37" s="216">
        <v>199029</v>
      </c>
      <c r="BL37" s="216">
        <v>52983</v>
      </c>
      <c r="BM37" s="151"/>
      <c r="BO37" s="216">
        <v>-1758</v>
      </c>
      <c r="BP37" s="216">
        <v>1031</v>
      </c>
      <c r="BQ37" s="216">
        <v>-91</v>
      </c>
      <c r="BR37" s="216">
        <v>19285</v>
      </c>
      <c r="BS37" s="216">
        <v>0</v>
      </c>
      <c r="BT37" s="216">
        <v>0</v>
      </c>
      <c r="BU37" s="216">
        <v>-19376</v>
      </c>
      <c r="BV37" s="184">
        <v>0</v>
      </c>
      <c r="BW37" s="183">
        <v>0</v>
      </c>
      <c r="BX37" s="183">
        <v>0</v>
      </c>
      <c r="BY37" s="183">
        <v>-19376</v>
      </c>
      <c r="BZ37" s="183">
        <v>8494</v>
      </c>
      <c r="CA37" s="183">
        <v>-3204</v>
      </c>
      <c r="CB37" s="167"/>
      <c r="CC37" s="183">
        <v>4624</v>
      </c>
      <c r="CD37" s="183">
        <v>-7851</v>
      </c>
      <c r="CE37" s="180">
        <v>-37123</v>
      </c>
      <c r="CF37" s="139">
        <v>199029</v>
      </c>
      <c r="CG37" s="216">
        <v>171907</v>
      </c>
      <c r="CH37" s="216">
        <v>14104</v>
      </c>
      <c r="CI37" s="216">
        <v>13018</v>
      </c>
      <c r="CJ37" s="212">
        <v>19.75</v>
      </c>
      <c r="CK37" s="144"/>
      <c r="CL37" s="130">
        <v>232</v>
      </c>
      <c r="CM37" s="228">
        <v>46576</v>
      </c>
      <c r="CN37" s="138"/>
      <c r="CO37" s="142">
        <v>1.5922027560418253</v>
      </c>
      <c r="CP37" s="142">
        <v>60.480683726904459</v>
      </c>
      <c r="CQ37" s="183">
        <v>-3020.6329440054965</v>
      </c>
      <c r="CR37" s="144"/>
      <c r="CS37"/>
      <c r="CU37" s="232">
        <v>46.464453467080645</v>
      </c>
      <c r="CV37" s="143">
        <v>995.40535898316728</v>
      </c>
      <c r="CW37" s="146">
        <v>47.905203797962869</v>
      </c>
      <c r="CX37" s="143">
        <v>7584.2064582617659</v>
      </c>
      <c r="CY37" s="131">
        <v>76639</v>
      </c>
      <c r="CZ37" s="229">
        <v>41806</v>
      </c>
      <c r="DA37" s="229">
        <v>304225</v>
      </c>
      <c r="DB37" s="216">
        <v>-262419</v>
      </c>
      <c r="DC37" s="229">
        <v>210988</v>
      </c>
      <c r="DD37" s="229">
        <v>73266</v>
      </c>
      <c r="DE37" s="151"/>
      <c r="DG37" s="229">
        <v>-1773</v>
      </c>
      <c r="DH37" s="229">
        <v>1100</v>
      </c>
      <c r="DI37" s="229">
        <v>21162</v>
      </c>
      <c r="DJ37" s="229">
        <v>20445</v>
      </c>
      <c r="DK37" s="229">
        <v>0</v>
      </c>
      <c r="DL37" s="229">
        <v>0</v>
      </c>
      <c r="DM37" s="229">
        <v>717</v>
      </c>
      <c r="DN37" s="131">
        <v>-10952</v>
      </c>
      <c r="DO37" s="130">
        <v>11000</v>
      </c>
      <c r="DP37" s="130">
        <v>0</v>
      </c>
      <c r="DQ37" s="130">
        <v>765</v>
      </c>
      <c r="DR37" s="130">
        <v>9259</v>
      </c>
      <c r="DS37" s="130">
        <v>23282</v>
      </c>
      <c r="DT37" s="167"/>
      <c r="DU37" s="183">
        <v>3150</v>
      </c>
      <c r="DV37" s="183">
        <v>-12610</v>
      </c>
      <c r="DW37" s="180">
        <v>-10485</v>
      </c>
      <c r="DX37" s="130">
        <v>210988</v>
      </c>
      <c r="DY37" s="229">
        <v>183623</v>
      </c>
      <c r="DZ37" s="229">
        <v>14846</v>
      </c>
      <c r="EA37" s="229">
        <v>12519</v>
      </c>
      <c r="EB37" s="212">
        <v>19.75</v>
      </c>
      <c r="EC37" s="208"/>
      <c r="ED37" s="183">
        <v>241.38970588235301</v>
      </c>
      <c r="EE37" s="3">
        <v>218216</v>
      </c>
      <c r="EF37" s="183">
        <v>187375</v>
      </c>
      <c r="EG37" s="130">
        <v>193427</v>
      </c>
      <c r="EH37" s="130"/>
      <c r="EI37" s="130"/>
      <c r="EJ37" s="130"/>
      <c r="EK37" s="183">
        <v>-19129</v>
      </c>
      <c r="EL37" s="183">
        <v>403</v>
      </c>
      <c r="EM37" s="183">
        <v>9868</v>
      </c>
      <c r="EN37" s="226">
        <v>-38329</v>
      </c>
      <c r="EO37" s="226">
        <v>73</v>
      </c>
      <c r="EP37" s="226">
        <v>4337</v>
      </c>
      <c r="EQ37" s="226">
        <v>-36723</v>
      </c>
      <c r="ER37" s="230">
        <v>246</v>
      </c>
      <c r="ES37" s="230">
        <v>2710</v>
      </c>
      <c r="ET37" s="3">
        <v>0</v>
      </c>
      <c r="EU37" s="211">
        <v>1534</v>
      </c>
      <c r="EV37" s="183">
        <v>42636</v>
      </c>
      <c r="EW37" s="183">
        <v>-7020</v>
      </c>
      <c r="EX37" s="130">
        <v>0</v>
      </c>
      <c r="EY37" s="183">
        <v>26677</v>
      </c>
      <c r="EZ37" s="3">
        <v>111782</v>
      </c>
      <c r="FA37" s="3">
        <v>86827</v>
      </c>
      <c r="FB37" s="3">
        <v>24955</v>
      </c>
      <c r="FC37" s="3">
        <v>3227</v>
      </c>
      <c r="FD37" s="226">
        <v>139547</v>
      </c>
      <c r="FE37" s="183">
        <v>116853</v>
      </c>
      <c r="FF37" s="183">
        <v>22694</v>
      </c>
      <c r="FG37" s="183">
        <v>3173</v>
      </c>
      <c r="FH37" s="230">
        <v>153614</v>
      </c>
      <c r="FI37" s="130">
        <v>104243</v>
      </c>
      <c r="FJ37" s="130">
        <v>49371</v>
      </c>
      <c r="FK37" s="130">
        <v>3120</v>
      </c>
      <c r="FL37" s="29">
        <v>5582.1004644761742</v>
      </c>
      <c r="FM37" s="139">
        <v>6487.5403486120076</v>
      </c>
      <c r="FN37" s="139">
        <v>6856.5355547921681</v>
      </c>
      <c r="FO37" s="172">
        <f t="shared" si="0"/>
        <v>9297.3670886075943</v>
      </c>
      <c r="FP37" s="170">
        <f t="shared" si="1"/>
        <v>199.61712230778932</v>
      </c>
      <c r="FR37" s="175"/>
      <c r="FS37" s="195"/>
      <c r="FV37" s="175">
        <v>14443</v>
      </c>
      <c r="FW37" s="2">
        <f t="shared" si="2"/>
        <v>-14443</v>
      </c>
      <c r="FZ37" s="186"/>
      <c r="GA37" s="2"/>
      <c r="GB37" s="2"/>
    </row>
    <row r="38" spans="1:184" ht="13" x14ac:dyDescent="0.3">
      <c r="A38" s="77">
        <v>108</v>
      </c>
      <c r="B38" s="75" t="s">
        <v>36</v>
      </c>
      <c r="C38" s="179">
        <v>10510</v>
      </c>
      <c r="D38" s="138"/>
      <c r="E38" s="142">
        <v>2.3658920834974397</v>
      </c>
      <c r="F38" s="142">
        <v>83.908030104260163</v>
      </c>
      <c r="G38" s="183">
        <v>-4728.6393910561374</v>
      </c>
      <c r="H38" s="144"/>
      <c r="I38" s="186"/>
      <c r="K38" s="210">
        <v>35.53853467856954</v>
      </c>
      <c r="L38" s="143">
        <v>815.31874405328267</v>
      </c>
      <c r="M38" s="146">
        <v>39.117087934764932</v>
      </c>
      <c r="N38" s="143">
        <v>7607.7069457659372</v>
      </c>
      <c r="O38" s="138">
        <v>30813</v>
      </c>
      <c r="P38" s="143">
        <v>13513</v>
      </c>
      <c r="Q38" s="184">
        <v>67038</v>
      </c>
      <c r="R38" s="184">
        <v>-53525</v>
      </c>
      <c r="S38" s="139">
        <v>37419</v>
      </c>
      <c r="T38" s="138">
        <v>21575</v>
      </c>
      <c r="U38" s="151"/>
      <c r="W38" s="183">
        <v>-193</v>
      </c>
      <c r="X38" s="183">
        <v>498</v>
      </c>
      <c r="Y38" s="184">
        <v>5774</v>
      </c>
      <c r="Z38" s="130">
        <v>5352</v>
      </c>
      <c r="AA38" s="131">
        <v>0</v>
      </c>
      <c r="AB38" s="130">
        <v>0</v>
      </c>
      <c r="AC38" s="184">
        <v>422</v>
      </c>
      <c r="AD38" s="184">
        <v>77</v>
      </c>
      <c r="AE38" s="183">
        <v>0</v>
      </c>
      <c r="AF38" s="183">
        <v>0</v>
      </c>
      <c r="AG38" s="183">
        <v>499</v>
      </c>
      <c r="AH38" s="183">
        <v>808</v>
      </c>
      <c r="AI38" s="183">
        <v>5466</v>
      </c>
      <c r="AJ38" s="167"/>
      <c r="AK38" s="183">
        <v>570</v>
      </c>
      <c r="AL38" s="183">
        <v>-2306</v>
      </c>
      <c r="AM38" s="180">
        <v>-3839</v>
      </c>
      <c r="AN38" s="139">
        <v>37419</v>
      </c>
      <c r="AO38" s="138">
        <v>33656</v>
      </c>
      <c r="AP38" s="184">
        <v>1656</v>
      </c>
      <c r="AQ38" s="138">
        <v>2107</v>
      </c>
      <c r="AR38" s="109">
        <v>22</v>
      </c>
      <c r="AS38" s="144"/>
      <c r="AT38" s="139">
        <v>31</v>
      </c>
      <c r="AU38" s="228">
        <v>10404</v>
      </c>
      <c r="AV38" s="138"/>
      <c r="AW38" s="224">
        <v>0.58276697702385072</v>
      </c>
      <c r="AX38" s="225">
        <v>82.626953668168426</v>
      </c>
      <c r="AY38" s="139">
        <v>-4711.1687812379851</v>
      </c>
      <c r="AZ38" s="144"/>
      <c r="BA38"/>
      <c r="BC38" s="189">
        <v>34.919353959235309</v>
      </c>
      <c r="BD38" s="183">
        <v>754.99807766243759</v>
      </c>
      <c r="BE38" s="140">
        <v>30.077473432434985</v>
      </c>
      <c r="BF38" s="139">
        <v>9162.1491733948478</v>
      </c>
      <c r="BG38" s="184">
        <v>31469</v>
      </c>
      <c r="BH38" s="216">
        <v>12205</v>
      </c>
      <c r="BI38" s="216">
        <v>68308</v>
      </c>
      <c r="BJ38" s="216">
        <v>-56051</v>
      </c>
      <c r="BK38" s="216">
        <v>37870</v>
      </c>
      <c r="BL38" s="216">
        <v>21841</v>
      </c>
      <c r="BM38" s="151"/>
      <c r="BO38" s="216">
        <v>-202</v>
      </c>
      <c r="BP38" s="216">
        <v>314</v>
      </c>
      <c r="BQ38" s="216">
        <v>3772</v>
      </c>
      <c r="BR38" s="216">
        <v>5687</v>
      </c>
      <c r="BS38" s="216">
        <v>0</v>
      </c>
      <c r="BT38" s="216">
        <v>0</v>
      </c>
      <c r="BU38" s="216">
        <v>-1915</v>
      </c>
      <c r="BV38" s="184">
        <v>77</v>
      </c>
      <c r="BW38" s="183">
        <v>0</v>
      </c>
      <c r="BX38" s="183">
        <v>0</v>
      </c>
      <c r="BY38" s="183">
        <v>-1838</v>
      </c>
      <c r="BZ38" s="183">
        <v>-733</v>
      </c>
      <c r="CA38" s="183">
        <v>3739</v>
      </c>
      <c r="CB38" s="167"/>
      <c r="CC38" s="183">
        <v>-55</v>
      </c>
      <c r="CD38" s="183">
        <v>-22321</v>
      </c>
      <c r="CE38" s="180">
        <v>326</v>
      </c>
      <c r="CF38" s="139">
        <v>37870</v>
      </c>
      <c r="CG38" s="216">
        <v>33825</v>
      </c>
      <c r="CH38" s="216">
        <v>1901</v>
      </c>
      <c r="CI38" s="216">
        <v>2144</v>
      </c>
      <c r="CJ38" s="212">
        <v>22</v>
      </c>
      <c r="CK38" s="144"/>
      <c r="CL38" s="130">
        <v>69</v>
      </c>
      <c r="CM38" s="228">
        <v>10344</v>
      </c>
      <c r="CN38" s="138"/>
      <c r="CO38" s="142">
        <v>28.261363636363637</v>
      </c>
      <c r="CP38" s="142">
        <v>75.228724996421093</v>
      </c>
      <c r="CQ38" s="183">
        <v>-4269.9149265274555</v>
      </c>
      <c r="CR38" s="144"/>
      <c r="CS38"/>
      <c r="CU38" s="232">
        <v>36.874109367011499</v>
      </c>
      <c r="CV38" s="143">
        <v>1049.9806651198762</v>
      </c>
      <c r="CW38" s="146">
        <v>54.490866104933268</v>
      </c>
      <c r="CX38" s="143">
        <v>7033.1593194122197</v>
      </c>
      <c r="CY38" s="131">
        <v>33006</v>
      </c>
      <c r="CZ38" s="229">
        <v>12353</v>
      </c>
      <c r="DA38" s="229">
        <v>69742</v>
      </c>
      <c r="DB38" s="216">
        <v>-57389</v>
      </c>
      <c r="DC38" s="229">
        <v>39012</v>
      </c>
      <c r="DD38" s="229">
        <v>25531</v>
      </c>
      <c r="DE38" s="151"/>
      <c r="DG38" s="229">
        <v>-252</v>
      </c>
      <c r="DH38" s="229">
        <v>295</v>
      </c>
      <c r="DI38" s="229">
        <v>7197</v>
      </c>
      <c r="DJ38" s="229">
        <v>5319</v>
      </c>
      <c r="DK38" s="229">
        <v>0</v>
      </c>
      <c r="DL38" s="229">
        <v>0</v>
      </c>
      <c r="DM38" s="229">
        <v>1878</v>
      </c>
      <c r="DN38" s="131">
        <v>77</v>
      </c>
      <c r="DO38" s="130">
        <v>0</v>
      </c>
      <c r="DP38" s="130">
        <v>0</v>
      </c>
      <c r="DQ38" s="130">
        <v>1955</v>
      </c>
      <c r="DR38" s="130">
        <v>1222</v>
      </c>
      <c r="DS38" s="130">
        <v>7108</v>
      </c>
      <c r="DT38" s="167"/>
      <c r="DU38" s="183">
        <v>-224</v>
      </c>
      <c r="DV38" s="183">
        <v>0</v>
      </c>
      <c r="DW38" s="180">
        <v>4881</v>
      </c>
      <c r="DX38" s="130">
        <v>39012</v>
      </c>
      <c r="DY38" s="229">
        <v>35286</v>
      </c>
      <c r="DZ38" s="229">
        <v>1779</v>
      </c>
      <c r="EA38" s="229">
        <v>1947</v>
      </c>
      <c r="EB38" s="212">
        <v>22</v>
      </c>
      <c r="EC38" s="208"/>
      <c r="ED38" s="183">
        <v>135.617647058823</v>
      </c>
      <c r="EE38" s="3">
        <v>28622</v>
      </c>
      <c r="EF38" s="183">
        <v>29133</v>
      </c>
      <c r="EG38" s="130">
        <v>28467</v>
      </c>
      <c r="EH38" s="130"/>
      <c r="EI38" s="130"/>
      <c r="EJ38" s="130"/>
      <c r="EK38" s="183">
        <v>-10428</v>
      </c>
      <c r="EL38" s="183">
        <v>490</v>
      </c>
      <c r="EM38" s="183">
        <v>633</v>
      </c>
      <c r="EN38" s="226">
        <v>-4443</v>
      </c>
      <c r="EO38" s="226">
        <v>970</v>
      </c>
      <c r="EP38" s="226">
        <v>60</v>
      </c>
      <c r="EQ38" s="226">
        <v>-2634</v>
      </c>
      <c r="ER38" s="230">
        <v>261</v>
      </c>
      <c r="ES38" s="230">
        <v>146</v>
      </c>
      <c r="ET38" s="3">
        <v>1800</v>
      </c>
      <c r="EU38" s="211">
        <v>4250</v>
      </c>
      <c r="EV38" s="183">
        <v>0</v>
      </c>
      <c r="EW38" s="183">
        <v>21265</v>
      </c>
      <c r="EX38" s="130">
        <v>31154</v>
      </c>
      <c r="EY38" s="183">
        <v>-33821</v>
      </c>
      <c r="EZ38" s="3">
        <v>51471</v>
      </c>
      <c r="FA38" s="3">
        <v>32915</v>
      </c>
      <c r="FB38" s="3">
        <v>18556</v>
      </c>
      <c r="FC38" s="3">
        <v>248</v>
      </c>
      <c r="FD38" s="226">
        <v>50415</v>
      </c>
      <c r="FE38" s="183">
        <v>10594</v>
      </c>
      <c r="FF38" s="183">
        <v>39821</v>
      </c>
      <c r="FG38" s="183">
        <v>223</v>
      </c>
      <c r="FH38" s="230">
        <v>47748</v>
      </c>
      <c r="FI38" s="130">
        <v>40123</v>
      </c>
      <c r="FJ38" s="130">
        <v>7625</v>
      </c>
      <c r="FK38" s="130">
        <v>190</v>
      </c>
      <c r="FL38" s="29">
        <v>6383.3491912464324</v>
      </c>
      <c r="FM38" s="139">
        <v>6448.2891195693965</v>
      </c>
      <c r="FN38" s="139">
        <v>6354.118329466357</v>
      </c>
      <c r="FO38" s="172">
        <f t="shared" si="0"/>
        <v>1603.909090909091</v>
      </c>
      <c r="FP38" s="170">
        <f t="shared" si="1"/>
        <v>155.0569500105463</v>
      </c>
      <c r="FR38" s="175"/>
      <c r="FS38" s="195"/>
      <c r="FV38" s="175">
        <v>704</v>
      </c>
      <c r="FW38" s="2">
        <f t="shared" si="2"/>
        <v>-704</v>
      </c>
      <c r="FZ38" s="186"/>
      <c r="GA38" s="2"/>
      <c r="GB38" s="2"/>
    </row>
    <row r="39" spans="1:184" ht="13" x14ac:dyDescent="0.3">
      <c r="A39" s="77">
        <v>109</v>
      </c>
      <c r="B39" s="75" t="s">
        <v>37</v>
      </c>
      <c r="C39" s="179">
        <v>67532</v>
      </c>
      <c r="D39" s="138"/>
      <c r="E39" s="142">
        <v>0.46479301710621768</v>
      </c>
      <c r="F39" s="142">
        <v>65.281181010072117</v>
      </c>
      <c r="G39" s="183">
        <v>-2422.9698513297403</v>
      </c>
      <c r="H39" s="144"/>
      <c r="I39" s="186"/>
      <c r="K39" s="210">
        <v>53.262979671943448</v>
      </c>
      <c r="L39" s="143">
        <v>1574.6609014985488</v>
      </c>
      <c r="M39" s="146">
        <v>73.416167630691945</v>
      </c>
      <c r="N39" s="143">
        <v>7828.6738138956343</v>
      </c>
      <c r="O39" s="138">
        <v>148166</v>
      </c>
      <c r="P39" s="143">
        <v>99058</v>
      </c>
      <c r="Q39" s="184">
        <v>455555</v>
      </c>
      <c r="R39" s="184">
        <v>-356497</v>
      </c>
      <c r="S39" s="139">
        <v>281231</v>
      </c>
      <c r="T39" s="138">
        <v>91264</v>
      </c>
      <c r="U39" s="151"/>
      <c r="W39" s="183">
        <v>-3939</v>
      </c>
      <c r="X39" s="183">
        <v>1652</v>
      </c>
      <c r="Y39" s="184">
        <v>13711</v>
      </c>
      <c r="Z39" s="130">
        <v>25569</v>
      </c>
      <c r="AA39" s="130">
        <v>0</v>
      </c>
      <c r="AB39" s="131">
        <v>0</v>
      </c>
      <c r="AC39" s="184">
        <v>-11858</v>
      </c>
      <c r="AD39" s="184">
        <v>741</v>
      </c>
      <c r="AE39" s="184">
        <v>-542</v>
      </c>
      <c r="AF39" s="184">
        <v>7489</v>
      </c>
      <c r="AG39" s="183">
        <v>-4170</v>
      </c>
      <c r="AH39" s="183">
        <v>-2233</v>
      </c>
      <c r="AI39" s="183">
        <v>-473</v>
      </c>
      <c r="AJ39" s="167"/>
      <c r="AK39" s="183">
        <v>3675</v>
      </c>
      <c r="AL39" s="183">
        <v>-36582</v>
      </c>
      <c r="AM39" s="180">
        <v>-21109</v>
      </c>
      <c r="AN39" s="139">
        <v>281231</v>
      </c>
      <c r="AO39" s="138">
        <v>237794</v>
      </c>
      <c r="AP39" s="184">
        <v>15868</v>
      </c>
      <c r="AQ39" s="138">
        <v>27569</v>
      </c>
      <c r="AR39" s="109">
        <v>20.75</v>
      </c>
      <c r="AS39" s="144"/>
      <c r="AT39" s="139">
        <v>166</v>
      </c>
      <c r="AU39" s="228">
        <v>67633</v>
      </c>
      <c r="AV39" s="138"/>
      <c r="AW39" s="224">
        <v>0.29861752246488887</v>
      </c>
      <c r="AX39" s="225">
        <v>72.22715519767965</v>
      </c>
      <c r="AY39" s="139">
        <v>-2797.8501619032131</v>
      </c>
      <c r="AZ39" s="144"/>
      <c r="BA39"/>
      <c r="BC39" s="189">
        <v>49.871046038554951</v>
      </c>
      <c r="BD39" s="183">
        <v>1690.9201129626069</v>
      </c>
      <c r="BE39" s="140">
        <v>76.644926618155509</v>
      </c>
      <c r="BF39" s="139">
        <v>8052.5335265329059</v>
      </c>
      <c r="BG39" s="184">
        <v>152590</v>
      </c>
      <c r="BH39" s="216">
        <v>86214</v>
      </c>
      <c r="BI39" s="216">
        <v>465332</v>
      </c>
      <c r="BJ39" s="216">
        <v>-370118</v>
      </c>
      <c r="BK39" s="216">
        <v>283424</v>
      </c>
      <c r="BL39" s="216">
        <v>90981</v>
      </c>
      <c r="BM39" s="151"/>
      <c r="BO39" s="216">
        <v>-3608</v>
      </c>
      <c r="BP39" s="216">
        <v>6073</v>
      </c>
      <c r="BQ39" s="216">
        <v>6752</v>
      </c>
      <c r="BR39" s="216">
        <v>18370</v>
      </c>
      <c r="BS39" s="216">
        <v>0</v>
      </c>
      <c r="BT39" s="216">
        <v>0</v>
      </c>
      <c r="BU39" s="216">
        <v>-11618</v>
      </c>
      <c r="BV39" s="184">
        <v>98</v>
      </c>
      <c r="BW39" s="184">
        <v>45</v>
      </c>
      <c r="BX39" s="184">
        <v>0</v>
      </c>
      <c r="BY39" s="183">
        <v>-11475</v>
      </c>
      <c r="BZ39" s="183">
        <v>-13709</v>
      </c>
      <c r="CA39" s="183">
        <v>2947</v>
      </c>
      <c r="CB39" s="167"/>
      <c r="CC39" s="183">
        <v>2248</v>
      </c>
      <c r="CD39" s="183">
        <v>-45697</v>
      </c>
      <c r="CE39" s="180">
        <v>-26363</v>
      </c>
      <c r="CF39" s="139">
        <v>283424</v>
      </c>
      <c r="CG39" s="216">
        <v>239750</v>
      </c>
      <c r="CH39" s="216">
        <v>15997</v>
      </c>
      <c r="CI39" s="216">
        <v>27677</v>
      </c>
      <c r="CJ39" s="212">
        <v>20.75</v>
      </c>
      <c r="CK39" s="144"/>
      <c r="CL39" s="130">
        <v>181</v>
      </c>
      <c r="CM39" s="228">
        <v>67848</v>
      </c>
      <c r="CN39" s="138"/>
      <c r="CO39" s="142">
        <v>0.94780838845678561</v>
      </c>
      <c r="CP39" s="142">
        <v>72.610273262329045</v>
      </c>
      <c r="CQ39" s="183">
        <v>-2692.5185709232401</v>
      </c>
      <c r="CR39" s="144"/>
      <c r="CS39"/>
      <c r="CU39" s="232">
        <v>48.395206395904495</v>
      </c>
      <c r="CV39" s="143">
        <v>2288.0409149864404</v>
      </c>
      <c r="CW39" s="146">
        <v>104.4345807483753</v>
      </c>
      <c r="CX39" s="143">
        <v>7996.7279801910154</v>
      </c>
      <c r="CY39" s="131">
        <v>156297</v>
      </c>
      <c r="CZ39" s="229">
        <v>90314</v>
      </c>
      <c r="DA39" s="229">
        <v>477071</v>
      </c>
      <c r="DB39" s="216">
        <v>-386757</v>
      </c>
      <c r="DC39" s="229">
        <v>298979</v>
      </c>
      <c r="DD39" s="229">
        <v>122902</v>
      </c>
      <c r="DE39" s="151"/>
      <c r="DG39" s="229">
        <v>-4014</v>
      </c>
      <c r="DH39" s="229">
        <v>2014</v>
      </c>
      <c r="DI39" s="229">
        <v>33124</v>
      </c>
      <c r="DJ39" s="229">
        <v>21931</v>
      </c>
      <c r="DK39" s="229">
        <v>0</v>
      </c>
      <c r="DL39" s="229">
        <v>0</v>
      </c>
      <c r="DM39" s="229">
        <v>11193</v>
      </c>
      <c r="DN39" s="131">
        <v>18</v>
      </c>
      <c r="DO39" s="131">
        <v>-73</v>
      </c>
      <c r="DP39" s="131">
        <v>2764</v>
      </c>
      <c r="DQ39" s="130">
        <v>13902</v>
      </c>
      <c r="DR39" s="130">
        <v>195</v>
      </c>
      <c r="DS39" s="130">
        <v>32075</v>
      </c>
      <c r="DT39" s="167"/>
      <c r="DU39" s="183">
        <v>2221</v>
      </c>
      <c r="DV39" s="183">
        <v>-35278</v>
      </c>
      <c r="DW39" s="180">
        <v>4003</v>
      </c>
      <c r="DX39" s="130">
        <v>298979</v>
      </c>
      <c r="DY39" s="229">
        <v>255175</v>
      </c>
      <c r="DZ39" s="229">
        <v>18457</v>
      </c>
      <c r="EA39" s="229">
        <v>25347</v>
      </c>
      <c r="EB39" s="212">
        <v>21</v>
      </c>
      <c r="EC39" s="208"/>
      <c r="ED39" s="183">
        <v>232.32352941176401</v>
      </c>
      <c r="EE39" s="3">
        <v>236210</v>
      </c>
      <c r="EF39" s="183">
        <v>242400</v>
      </c>
      <c r="EG39" s="130">
        <v>248354</v>
      </c>
      <c r="EH39" s="130"/>
      <c r="EI39" s="130"/>
      <c r="EJ39" s="130">
        <v>2600</v>
      </c>
      <c r="EK39" s="183">
        <v>-36177</v>
      </c>
      <c r="EL39" s="183">
        <v>271</v>
      </c>
      <c r="EM39" s="183">
        <v>15270</v>
      </c>
      <c r="EN39" s="226">
        <v>-36604</v>
      </c>
      <c r="EO39" s="226">
        <v>524</v>
      </c>
      <c r="EP39" s="226">
        <v>6770</v>
      </c>
      <c r="EQ39" s="226">
        <v>-32863</v>
      </c>
      <c r="ER39" s="230">
        <v>284</v>
      </c>
      <c r="ES39" s="230">
        <v>4507</v>
      </c>
      <c r="ET39" s="3">
        <v>49570</v>
      </c>
      <c r="EU39" s="211">
        <v>2613</v>
      </c>
      <c r="EV39" s="183">
        <v>60000</v>
      </c>
      <c r="EW39" s="183">
        <v>19440</v>
      </c>
      <c r="EX39" s="130">
        <v>62648</v>
      </c>
      <c r="EY39" s="183">
        <v>2818</v>
      </c>
      <c r="EZ39" s="3">
        <v>237865</v>
      </c>
      <c r="FA39" s="3">
        <v>165589</v>
      </c>
      <c r="FB39" s="3">
        <v>72276</v>
      </c>
      <c r="FC39" s="3">
        <v>40934</v>
      </c>
      <c r="FD39" s="226">
        <v>271609</v>
      </c>
      <c r="FE39" s="183">
        <v>180363</v>
      </c>
      <c r="FF39" s="183">
        <v>91246</v>
      </c>
      <c r="FG39" s="183">
        <v>39923</v>
      </c>
      <c r="FH39" s="230">
        <v>301795</v>
      </c>
      <c r="FI39" s="130">
        <v>209646</v>
      </c>
      <c r="FJ39" s="130">
        <v>92149</v>
      </c>
      <c r="FK39" s="130">
        <v>39112</v>
      </c>
      <c r="FL39" s="29">
        <v>6404.7118403127406</v>
      </c>
      <c r="FM39" s="139">
        <v>6972.9569884523826</v>
      </c>
      <c r="FN39" s="139">
        <v>7509.49180521165</v>
      </c>
      <c r="FO39" s="172">
        <f t="shared" si="0"/>
        <v>12151.190476190477</v>
      </c>
      <c r="FP39" s="170">
        <f t="shared" si="1"/>
        <v>179.09430603983134</v>
      </c>
      <c r="FR39" s="175"/>
      <c r="FS39" s="195"/>
      <c r="FV39" s="175">
        <v>20186</v>
      </c>
      <c r="FW39" s="2">
        <f t="shared" si="2"/>
        <v>-20186</v>
      </c>
      <c r="FZ39" s="186"/>
      <c r="GA39" s="2"/>
      <c r="GB39" s="2"/>
    </row>
    <row r="40" spans="1:184" ht="13" x14ac:dyDescent="0.3">
      <c r="A40" s="77">
        <v>139</v>
      </c>
      <c r="B40" s="75" t="s">
        <v>39</v>
      </c>
      <c r="C40" s="179">
        <v>9862</v>
      </c>
      <c r="D40" s="138"/>
      <c r="E40" s="142">
        <v>0.30601741884402217</v>
      </c>
      <c r="F40" s="142">
        <v>69.678738663979615</v>
      </c>
      <c r="G40" s="183">
        <v>-4279.0509024538633</v>
      </c>
      <c r="H40" s="144"/>
      <c r="I40" s="186"/>
      <c r="K40" s="210">
        <v>40.782564302037244</v>
      </c>
      <c r="L40" s="143">
        <v>263.02981139728251</v>
      </c>
      <c r="M40" s="146">
        <v>12.204147922816153</v>
      </c>
      <c r="N40" s="143">
        <v>7866.6599067126344</v>
      </c>
      <c r="O40" s="138">
        <v>19093</v>
      </c>
      <c r="P40" s="143">
        <v>7955</v>
      </c>
      <c r="Q40" s="184">
        <v>66096</v>
      </c>
      <c r="R40" s="184">
        <v>-58141</v>
      </c>
      <c r="S40" s="139">
        <v>32090</v>
      </c>
      <c r="T40" s="138">
        <v>27439</v>
      </c>
      <c r="U40" s="151"/>
      <c r="W40" s="183">
        <v>-305</v>
      </c>
      <c r="X40" s="183">
        <v>132</v>
      </c>
      <c r="Y40" s="184">
        <v>1215</v>
      </c>
      <c r="Z40" s="130">
        <v>3148</v>
      </c>
      <c r="AA40" s="130">
        <v>0</v>
      </c>
      <c r="AB40" s="130">
        <v>0</v>
      </c>
      <c r="AC40" s="184">
        <v>-1933</v>
      </c>
      <c r="AD40" s="183">
        <v>83</v>
      </c>
      <c r="AE40" s="183">
        <v>0</v>
      </c>
      <c r="AF40" s="183">
        <v>0</v>
      </c>
      <c r="AG40" s="183">
        <v>-1850</v>
      </c>
      <c r="AH40" s="183">
        <v>4089</v>
      </c>
      <c r="AI40" s="183">
        <v>1080</v>
      </c>
      <c r="AJ40" s="167"/>
      <c r="AK40" s="183">
        <v>-320</v>
      </c>
      <c r="AL40" s="183">
        <v>-4721</v>
      </c>
      <c r="AM40" s="180">
        <v>-4683</v>
      </c>
      <c r="AN40" s="139">
        <v>32090</v>
      </c>
      <c r="AO40" s="138">
        <v>26489</v>
      </c>
      <c r="AP40" s="184">
        <v>1373</v>
      </c>
      <c r="AQ40" s="138">
        <v>4228</v>
      </c>
      <c r="AR40" s="109">
        <v>21.25</v>
      </c>
      <c r="AS40" s="144"/>
      <c r="AT40" s="139">
        <v>208</v>
      </c>
      <c r="AU40" s="228">
        <v>9844</v>
      </c>
      <c r="AV40" s="138"/>
      <c r="AW40" s="224">
        <v>9.7969864862102102E-2</v>
      </c>
      <c r="AX40" s="225">
        <v>75.718116210742508</v>
      </c>
      <c r="AY40" s="139">
        <v>-4954.8963835839086</v>
      </c>
      <c r="AZ40" s="144"/>
      <c r="BA40"/>
      <c r="BC40" s="189">
        <v>36.198362507715778</v>
      </c>
      <c r="BD40" s="183">
        <v>264.22186103210078</v>
      </c>
      <c r="BE40" s="140">
        <v>11.380953522663246</v>
      </c>
      <c r="BF40" s="139">
        <v>8473.8927265339298</v>
      </c>
      <c r="BG40" s="184">
        <v>20207</v>
      </c>
      <c r="BH40" s="216">
        <v>8576</v>
      </c>
      <c r="BI40" s="216">
        <v>69652</v>
      </c>
      <c r="BJ40" s="216">
        <v>-61055</v>
      </c>
      <c r="BK40" s="216">
        <v>33886</v>
      </c>
      <c r="BL40" s="216">
        <v>27652</v>
      </c>
      <c r="BM40" s="151"/>
      <c r="BO40" s="216">
        <v>-275</v>
      </c>
      <c r="BP40" s="216">
        <v>83</v>
      </c>
      <c r="BQ40" s="216">
        <v>291</v>
      </c>
      <c r="BR40" s="216">
        <v>3362</v>
      </c>
      <c r="BS40" s="216">
        <v>0</v>
      </c>
      <c r="BT40" s="216">
        <v>0</v>
      </c>
      <c r="BU40" s="216">
        <v>-3071</v>
      </c>
      <c r="BV40" s="183">
        <v>-618</v>
      </c>
      <c r="BW40" s="183">
        <v>700</v>
      </c>
      <c r="BX40" s="183">
        <v>0</v>
      </c>
      <c r="BY40" s="183">
        <v>-2989</v>
      </c>
      <c r="BZ40" s="183">
        <v>1701</v>
      </c>
      <c r="CA40" s="183">
        <v>117</v>
      </c>
      <c r="CB40" s="167"/>
      <c r="CC40" s="183">
        <v>515</v>
      </c>
      <c r="CD40" s="183">
        <v>-5466</v>
      </c>
      <c r="CE40" s="180">
        <v>-7135</v>
      </c>
      <c r="CF40" s="139">
        <v>33886</v>
      </c>
      <c r="CG40" s="216">
        <v>28154</v>
      </c>
      <c r="CH40" s="216">
        <v>1453</v>
      </c>
      <c r="CI40" s="216">
        <v>4279</v>
      </c>
      <c r="CJ40" s="212">
        <v>21.25</v>
      </c>
      <c r="CK40" s="144"/>
      <c r="CL40" s="130">
        <v>219</v>
      </c>
      <c r="CM40" s="228">
        <v>9848</v>
      </c>
      <c r="CN40" s="138"/>
      <c r="CO40" s="142">
        <v>0.66179361179361185</v>
      </c>
      <c r="CP40" s="142">
        <v>76.117309280648158</v>
      </c>
      <c r="CQ40" s="183">
        <v>-4867.7904142973193</v>
      </c>
      <c r="CR40" s="144"/>
      <c r="CS40"/>
      <c r="CU40" s="232">
        <v>34.975010072193122</v>
      </c>
      <c r="CV40" s="143">
        <v>835.19496344435413</v>
      </c>
      <c r="CW40" s="146">
        <v>35.783460672014492</v>
      </c>
      <c r="CX40" s="143">
        <v>8519.1917140536152</v>
      </c>
      <c r="CY40" s="131">
        <v>20964</v>
      </c>
      <c r="CZ40" s="229">
        <v>8079</v>
      </c>
      <c r="DA40" s="229">
        <v>70952</v>
      </c>
      <c r="DB40" s="216">
        <v>-62873</v>
      </c>
      <c r="DC40" s="229">
        <v>34439</v>
      </c>
      <c r="DD40" s="229">
        <v>33759</v>
      </c>
      <c r="DE40" s="151"/>
      <c r="DG40" s="229">
        <v>-300</v>
      </c>
      <c r="DH40" s="229">
        <v>53</v>
      </c>
      <c r="DI40" s="229">
        <v>5078</v>
      </c>
      <c r="DJ40" s="229">
        <v>4039</v>
      </c>
      <c r="DK40" s="229">
        <v>0</v>
      </c>
      <c r="DL40" s="229">
        <v>0</v>
      </c>
      <c r="DM40" s="229">
        <v>1039</v>
      </c>
      <c r="DN40" s="130">
        <v>84</v>
      </c>
      <c r="DO40" s="130">
        <v>0</v>
      </c>
      <c r="DP40" s="130">
        <v>0</v>
      </c>
      <c r="DQ40" s="130">
        <v>1123</v>
      </c>
      <c r="DR40" s="130">
        <v>2824</v>
      </c>
      <c r="DS40" s="130">
        <v>5018</v>
      </c>
      <c r="DT40" s="167"/>
      <c r="DU40" s="183">
        <v>-185</v>
      </c>
      <c r="DV40" s="183">
        <v>-7831</v>
      </c>
      <c r="DW40" s="180">
        <v>320</v>
      </c>
      <c r="DX40" s="130">
        <v>34439</v>
      </c>
      <c r="DY40" s="229">
        <v>28922</v>
      </c>
      <c r="DZ40" s="229">
        <v>1521</v>
      </c>
      <c r="EA40" s="229">
        <v>3996</v>
      </c>
      <c r="EB40" s="212">
        <v>21.25</v>
      </c>
      <c r="EC40" s="208"/>
      <c r="ED40" s="183">
        <v>222.25</v>
      </c>
      <c r="EE40" s="3">
        <v>39588</v>
      </c>
      <c r="EF40" s="183">
        <v>42085</v>
      </c>
      <c r="EG40" s="130">
        <v>42611</v>
      </c>
      <c r="EH40" s="130"/>
      <c r="EI40" s="130"/>
      <c r="EJ40" s="130">
        <v>700</v>
      </c>
      <c r="EK40" s="183">
        <v>-6429</v>
      </c>
      <c r="EL40" s="183">
        <v>255</v>
      </c>
      <c r="EM40" s="183">
        <v>411</v>
      </c>
      <c r="EN40" s="226">
        <v>-8004</v>
      </c>
      <c r="EO40" s="226">
        <v>571</v>
      </c>
      <c r="EP40" s="226">
        <v>181</v>
      </c>
      <c r="EQ40" s="226">
        <v>-4805</v>
      </c>
      <c r="ER40" s="230">
        <v>50</v>
      </c>
      <c r="ES40" s="230">
        <v>57</v>
      </c>
      <c r="ET40" s="3">
        <v>10000</v>
      </c>
      <c r="EU40" s="211">
        <v>-2129</v>
      </c>
      <c r="EV40" s="183">
        <v>10000</v>
      </c>
      <c r="EW40" s="183">
        <v>1745</v>
      </c>
      <c r="EX40" s="130">
        <v>19100</v>
      </c>
      <c r="EY40" s="183">
        <v>-7590</v>
      </c>
      <c r="EZ40" s="3">
        <v>38285</v>
      </c>
      <c r="FA40" s="3">
        <v>23564</v>
      </c>
      <c r="FB40" s="3">
        <v>14721</v>
      </c>
      <c r="FC40" s="3">
        <v>890</v>
      </c>
      <c r="FD40" s="226">
        <v>44564</v>
      </c>
      <c r="FE40" s="183">
        <v>28098</v>
      </c>
      <c r="FF40" s="183">
        <v>16466</v>
      </c>
      <c r="FG40" s="183">
        <v>890</v>
      </c>
      <c r="FH40" s="230">
        <v>48243</v>
      </c>
      <c r="FI40" s="130">
        <v>39367</v>
      </c>
      <c r="FJ40" s="130">
        <v>8876</v>
      </c>
      <c r="FK40" s="130">
        <v>890</v>
      </c>
      <c r="FL40" s="29">
        <v>5780.267694179679</v>
      </c>
      <c r="FM40" s="139">
        <v>6390.9995936611131</v>
      </c>
      <c r="FN40" s="139">
        <v>7036.4541023558086</v>
      </c>
      <c r="FO40" s="172">
        <f t="shared" si="0"/>
        <v>1361.035294117647</v>
      </c>
      <c r="FP40" s="170">
        <f t="shared" si="1"/>
        <v>138.20423376499258</v>
      </c>
      <c r="FR40" s="175"/>
      <c r="FS40" s="195"/>
      <c r="FV40" s="175">
        <v>2843</v>
      </c>
      <c r="FW40" s="2">
        <f t="shared" si="2"/>
        <v>-2843</v>
      </c>
      <c r="FZ40" s="186"/>
      <c r="GA40" s="2"/>
      <c r="GB40" s="2"/>
    </row>
    <row r="41" spans="1:184" ht="13" x14ac:dyDescent="0.3">
      <c r="A41" s="77">
        <v>140</v>
      </c>
      <c r="B41" s="75" t="s">
        <v>40</v>
      </c>
      <c r="C41" s="179">
        <v>21472</v>
      </c>
      <c r="D41" s="138"/>
      <c r="E41" s="142">
        <v>1.1870697395989225</v>
      </c>
      <c r="F41" s="142">
        <v>47.232157526888514</v>
      </c>
      <c r="G41" s="183">
        <v>-1915.2384500745156</v>
      </c>
      <c r="H41" s="144"/>
      <c r="I41" s="186"/>
      <c r="K41" s="210">
        <v>54.644213535273202</v>
      </c>
      <c r="L41" s="143">
        <v>1361.7734724292102</v>
      </c>
      <c r="M41" s="146">
        <v>62.078512805300115</v>
      </c>
      <c r="N41" s="143">
        <v>8006.7529806259308</v>
      </c>
      <c r="O41" s="138">
        <v>42171</v>
      </c>
      <c r="P41" s="143">
        <v>29285</v>
      </c>
      <c r="Q41" s="184">
        <v>147305</v>
      </c>
      <c r="R41" s="184">
        <v>-118020</v>
      </c>
      <c r="S41" s="139">
        <v>75247</v>
      </c>
      <c r="T41" s="138">
        <v>53714</v>
      </c>
      <c r="U41" s="151"/>
      <c r="W41" s="183">
        <v>-292</v>
      </c>
      <c r="X41" s="183">
        <v>915</v>
      </c>
      <c r="Y41" s="184">
        <v>11564</v>
      </c>
      <c r="Z41" s="130">
        <v>9398</v>
      </c>
      <c r="AA41" s="130">
        <v>0</v>
      </c>
      <c r="AB41" s="130">
        <v>0</v>
      </c>
      <c r="AC41" s="184">
        <v>2166</v>
      </c>
      <c r="AD41" s="184">
        <v>-788</v>
      </c>
      <c r="AE41" s="183">
        <v>0</v>
      </c>
      <c r="AF41" s="184">
        <v>400</v>
      </c>
      <c r="AG41" s="183">
        <v>1778</v>
      </c>
      <c r="AH41" s="183">
        <v>11156</v>
      </c>
      <c r="AI41" s="183">
        <v>10850</v>
      </c>
      <c r="AJ41" s="167"/>
      <c r="AK41" s="183">
        <v>67</v>
      </c>
      <c r="AL41" s="183">
        <v>-9689</v>
      </c>
      <c r="AM41" s="180">
        <v>-1940</v>
      </c>
      <c r="AN41" s="139">
        <v>75247</v>
      </c>
      <c r="AO41" s="138">
        <v>63744</v>
      </c>
      <c r="AP41" s="184">
        <v>5766</v>
      </c>
      <c r="AQ41" s="138">
        <v>5737</v>
      </c>
      <c r="AR41" s="109">
        <v>20.5</v>
      </c>
      <c r="AS41" s="144"/>
      <c r="AT41" s="139">
        <v>36</v>
      </c>
      <c r="AU41" s="228">
        <v>21368</v>
      </c>
      <c r="AV41" s="138"/>
      <c r="AW41" s="224">
        <v>1.0278722806579481</v>
      </c>
      <c r="AX41" s="225">
        <v>43.352244003819578</v>
      </c>
      <c r="AY41" s="139">
        <v>-2076.0014975664544</v>
      </c>
      <c r="AZ41" s="144"/>
      <c r="BA41"/>
      <c r="BC41" s="189">
        <v>56.347550633248034</v>
      </c>
      <c r="BD41" s="183">
        <v>1034.4440284537627</v>
      </c>
      <c r="BE41" s="140">
        <v>45.956356055298279</v>
      </c>
      <c r="BF41" s="139">
        <v>8215.8835642081613</v>
      </c>
      <c r="BG41" s="184">
        <v>42402</v>
      </c>
      <c r="BH41" s="216">
        <v>28723</v>
      </c>
      <c r="BI41" s="216">
        <v>153787</v>
      </c>
      <c r="BJ41" s="216">
        <v>-125064</v>
      </c>
      <c r="BK41" s="216">
        <v>77076</v>
      </c>
      <c r="BL41" s="216">
        <v>54428</v>
      </c>
      <c r="BM41" s="151"/>
      <c r="BO41" s="216">
        <v>-307</v>
      </c>
      <c r="BP41" s="216">
        <v>1766</v>
      </c>
      <c r="BQ41" s="216">
        <v>7899</v>
      </c>
      <c r="BR41" s="216">
        <v>7372</v>
      </c>
      <c r="BS41" s="216">
        <v>0</v>
      </c>
      <c r="BT41" s="216">
        <v>0</v>
      </c>
      <c r="BU41" s="216">
        <v>527</v>
      </c>
      <c r="BV41" s="184">
        <v>-281</v>
      </c>
      <c r="BW41" s="183">
        <v>0</v>
      </c>
      <c r="BX41" s="184">
        <v>764</v>
      </c>
      <c r="BY41" s="183">
        <v>1010</v>
      </c>
      <c r="BZ41" s="183">
        <v>12166</v>
      </c>
      <c r="CA41" s="183">
        <v>7455</v>
      </c>
      <c r="CB41" s="167"/>
      <c r="CC41" s="183">
        <v>1279</v>
      </c>
      <c r="CD41" s="183">
        <v>-9773</v>
      </c>
      <c r="CE41" s="180">
        <v>-3225</v>
      </c>
      <c r="CF41" s="139">
        <v>77076</v>
      </c>
      <c r="CG41" s="216">
        <v>65351</v>
      </c>
      <c r="CH41" s="216">
        <v>5852</v>
      </c>
      <c r="CI41" s="216">
        <v>5873</v>
      </c>
      <c r="CJ41" s="212">
        <v>20.5</v>
      </c>
      <c r="CK41" s="144"/>
      <c r="CL41" s="130">
        <v>65</v>
      </c>
      <c r="CM41" s="228">
        <v>21124</v>
      </c>
      <c r="CN41" s="138"/>
      <c r="CO41" s="142">
        <v>1.4535621424856995</v>
      </c>
      <c r="CP41" s="142">
        <v>44.192142852896943</v>
      </c>
      <c r="CQ41" s="183">
        <v>-1964.3060026510132</v>
      </c>
      <c r="CR41" s="144"/>
      <c r="CS41"/>
      <c r="CU41" s="232">
        <v>55.925965168608251</v>
      </c>
      <c r="CV41" s="143">
        <v>1362.3840181783753</v>
      </c>
      <c r="CW41" s="146">
        <v>59.314689855727153</v>
      </c>
      <c r="CX41" s="143">
        <v>8383.5921227040326</v>
      </c>
      <c r="CY41" s="131">
        <v>41798</v>
      </c>
      <c r="CZ41" s="229">
        <v>28373</v>
      </c>
      <c r="DA41" s="229">
        <v>155530</v>
      </c>
      <c r="DB41" s="216">
        <v>-127157</v>
      </c>
      <c r="DC41" s="229">
        <v>77027</v>
      </c>
      <c r="DD41" s="229">
        <v>62862</v>
      </c>
      <c r="DE41" s="151"/>
      <c r="DG41" s="229">
        <v>-266</v>
      </c>
      <c r="DH41" s="229">
        <v>1198</v>
      </c>
      <c r="DI41" s="229">
        <v>13664</v>
      </c>
      <c r="DJ41" s="229">
        <v>8722</v>
      </c>
      <c r="DK41" s="229">
        <v>0</v>
      </c>
      <c r="DL41" s="229">
        <v>0</v>
      </c>
      <c r="DM41" s="229">
        <v>4942</v>
      </c>
      <c r="DN41" s="131">
        <v>-439</v>
      </c>
      <c r="DO41" s="130">
        <v>0</v>
      </c>
      <c r="DP41" s="131">
        <v>-1740</v>
      </c>
      <c r="DQ41" s="130">
        <v>2763</v>
      </c>
      <c r="DR41" s="130">
        <v>14929</v>
      </c>
      <c r="DS41" s="130">
        <v>13429</v>
      </c>
      <c r="DT41" s="167"/>
      <c r="DU41" s="183">
        <v>-1073</v>
      </c>
      <c r="DV41" s="183">
        <v>-9303</v>
      </c>
      <c r="DW41" s="180">
        <v>2354</v>
      </c>
      <c r="DX41" s="130">
        <v>77027</v>
      </c>
      <c r="DY41" s="229">
        <v>66202</v>
      </c>
      <c r="DZ41" s="229">
        <v>5504</v>
      </c>
      <c r="EA41" s="229">
        <v>5321</v>
      </c>
      <c r="EB41" s="212">
        <v>20.5</v>
      </c>
      <c r="EC41" s="208"/>
      <c r="ED41" s="183">
        <v>161.808823529411</v>
      </c>
      <c r="EE41" s="3">
        <v>88678</v>
      </c>
      <c r="EF41" s="183">
        <v>93305</v>
      </c>
      <c r="EG41" s="130">
        <v>95161</v>
      </c>
      <c r="EH41" s="130"/>
      <c r="EI41" s="130"/>
      <c r="EJ41" s="130"/>
      <c r="EK41" s="183">
        <v>-13805</v>
      </c>
      <c r="EL41" s="183">
        <v>123</v>
      </c>
      <c r="EM41" s="183">
        <v>892</v>
      </c>
      <c r="EN41" s="226">
        <v>-11482</v>
      </c>
      <c r="EO41" s="226">
        <v>46</v>
      </c>
      <c r="EP41" s="226">
        <v>756</v>
      </c>
      <c r="EQ41" s="226">
        <v>-11823</v>
      </c>
      <c r="ER41" s="230">
        <v>259</v>
      </c>
      <c r="ES41" s="230">
        <v>489</v>
      </c>
      <c r="ET41" s="3">
        <v>17342</v>
      </c>
      <c r="EU41" s="211">
        <v>0</v>
      </c>
      <c r="EV41" s="183">
        <v>3500</v>
      </c>
      <c r="EW41" s="183">
        <v>0</v>
      </c>
      <c r="EX41" s="130">
        <v>15300</v>
      </c>
      <c r="EY41" s="183">
        <v>0</v>
      </c>
      <c r="EZ41" s="3">
        <v>61618</v>
      </c>
      <c r="FA41" s="3">
        <v>51962</v>
      </c>
      <c r="FB41" s="3">
        <v>9656</v>
      </c>
      <c r="FC41" s="3">
        <v>1810</v>
      </c>
      <c r="FD41" s="226">
        <v>55346</v>
      </c>
      <c r="FE41" s="183">
        <v>46043</v>
      </c>
      <c r="FF41" s="183">
        <v>9303</v>
      </c>
      <c r="FG41" s="183">
        <v>1697</v>
      </c>
      <c r="FH41" s="230">
        <v>61342</v>
      </c>
      <c r="FI41" s="130">
        <v>51920</v>
      </c>
      <c r="FJ41" s="130">
        <v>9422</v>
      </c>
      <c r="FK41" s="130">
        <v>1589</v>
      </c>
      <c r="FL41" s="29">
        <v>5082.8055141579734</v>
      </c>
      <c r="FM41" s="139">
        <v>4729.2212654436535</v>
      </c>
      <c r="FN41" s="139">
        <v>5217.2883923499339</v>
      </c>
      <c r="FO41" s="172">
        <f t="shared" si="0"/>
        <v>3229.3658536585367</v>
      </c>
      <c r="FP41" s="170">
        <f t="shared" si="1"/>
        <v>152.87662628567205</v>
      </c>
      <c r="FR41" s="175"/>
      <c r="FS41" s="195"/>
      <c r="FV41" s="175">
        <v>4886</v>
      </c>
      <c r="FW41" s="2">
        <f t="shared" si="2"/>
        <v>-4886</v>
      </c>
      <c r="FZ41" s="186"/>
      <c r="GA41" s="2"/>
      <c r="GB41" s="2"/>
    </row>
    <row r="42" spans="1:184" ht="13" x14ac:dyDescent="0.3">
      <c r="A42" s="77">
        <v>142</v>
      </c>
      <c r="B42" s="75" t="s">
        <v>41</v>
      </c>
      <c r="C42" s="179">
        <v>6765</v>
      </c>
      <c r="D42" s="138"/>
      <c r="E42" s="142">
        <v>0.44338875692794932</v>
      </c>
      <c r="F42" s="142">
        <v>34.548802065898329</v>
      </c>
      <c r="G42" s="183">
        <v>-1332.0029563932003</v>
      </c>
      <c r="H42" s="144"/>
      <c r="I42" s="186"/>
      <c r="K42" s="210">
        <v>62.396207073295749</v>
      </c>
      <c r="L42" s="143">
        <v>704.65631929046572</v>
      </c>
      <c r="M42" s="146">
        <v>39.471767881853857</v>
      </c>
      <c r="N42" s="143">
        <v>6516.0384331116038</v>
      </c>
      <c r="O42" s="138">
        <v>9725</v>
      </c>
      <c r="P42" s="143">
        <v>3652</v>
      </c>
      <c r="Q42" s="184">
        <v>41517</v>
      </c>
      <c r="R42" s="184">
        <v>-37865</v>
      </c>
      <c r="S42" s="139">
        <v>23236</v>
      </c>
      <c r="T42" s="138">
        <v>14934</v>
      </c>
      <c r="U42" s="151"/>
      <c r="W42" s="183">
        <v>-60</v>
      </c>
      <c r="X42" s="183">
        <v>253</v>
      </c>
      <c r="Y42" s="184">
        <v>498</v>
      </c>
      <c r="Z42" s="130">
        <v>1625</v>
      </c>
      <c r="AA42" s="130">
        <v>62</v>
      </c>
      <c r="AB42" s="130">
        <v>0</v>
      </c>
      <c r="AC42" s="184">
        <v>-1065</v>
      </c>
      <c r="AD42" s="184">
        <v>70</v>
      </c>
      <c r="AE42" s="183">
        <v>0</v>
      </c>
      <c r="AF42" s="183">
        <v>0</v>
      </c>
      <c r="AG42" s="183">
        <v>-995</v>
      </c>
      <c r="AH42" s="183">
        <v>825</v>
      </c>
      <c r="AI42" s="183">
        <v>476</v>
      </c>
      <c r="AJ42" s="167"/>
      <c r="AK42" s="183">
        <v>162</v>
      </c>
      <c r="AL42" s="183">
        <v>-1201</v>
      </c>
      <c r="AM42" s="180">
        <v>-369</v>
      </c>
      <c r="AN42" s="139">
        <v>23236</v>
      </c>
      <c r="AO42" s="138">
        <v>19362</v>
      </c>
      <c r="AP42" s="184">
        <v>1421</v>
      </c>
      <c r="AQ42" s="138">
        <v>2453</v>
      </c>
      <c r="AR42" s="109">
        <v>20.75</v>
      </c>
      <c r="AS42" s="144"/>
      <c r="AT42" s="139">
        <v>221</v>
      </c>
      <c r="AU42" s="228">
        <v>6711</v>
      </c>
      <c r="AV42" s="138"/>
      <c r="AW42" s="224">
        <v>-0.94700026903416734</v>
      </c>
      <c r="AX42" s="225">
        <v>39.453270159791899</v>
      </c>
      <c r="AY42" s="139">
        <v>-1694.2333482342424</v>
      </c>
      <c r="AZ42" s="144"/>
      <c r="BA42"/>
      <c r="BC42" s="189">
        <v>55.287699701259903</v>
      </c>
      <c r="BD42" s="183">
        <v>744.44941141409629</v>
      </c>
      <c r="BE42" s="140">
        <v>38.571398354379511</v>
      </c>
      <c r="BF42" s="139">
        <v>7044.7027268663387</v>
      </c>
      <c r="BG42" s="184">
        <v>10526</v>
      </c>
      <c r="BH42" s="216">
        <v>3514</v>
      </c>
      <c r="BI42" s="216">
        <v>44515</v>
      </c>
      <c r="BJ42" s="216">
        <v>-41001</v>
      </c>
      <c r="BK42" s="216">
        <v>24311</v>
      </c>
      <c r="BL42" s="216">
        <v>15231</v>
      </c>
      <c r="BM42" s="151"/>
      <c r="BO42" s="216">
        <v>-51</v>
      </c>
      <c r="BP42" s="216">
        <v>135</v>
      </c>
      <c r="BQ42" s="216">
        <v>-1375</v>
      </c>
      <c r="BR42" s="216">
        <v>1689</v>
      </c>
      <c r="BS42" s="216">
        <v>0</v>
      </c>
      <c r="BT42" s="216">
        <v>0</v>
      </c>
      <c r="BU42" s="216">
        <v>-3064</v>
      </c>
      <c r="BV42" s="184">
        <v>70</v>
      </c>
      <c r="BW42" s="183">
        <v>0</v>
      </c>
      <c r="BX42" s="183">
        <v>0</v>
      </c>
      <c r="BY42" s="183">
        <v>-2994</v>
      </c>
      <c r="BZ42" s="183">
        <v>-2169</v>
      </c>
      <c r="CA42" s="183">
        <v>-1387</v>
      </c>
      <c r="CB42" s="167"/>
      <c r="CC42" s="183">
        <v>51</v>
      </c>
      <c r="CD42" s="183">
        <v>-1383</v>
      </c>
      <c r="CE42" s="180">
        <v>-2360</v>
      </c>
      <c r="CF42" s="139">
        <v>24311</v>
      </c>
      <c r="CG42" s="216">
        <v>19979</v>
      </c>
      <c r="CH42" s="216">
        <v>1389</v>
      </c>
      <c r="CI42" s="216">
        <v>2943</v>
      </c>
      <c r="CJ42" s="212">
        <v>20.75</v>
      </c>
      <c r="CK42" s="144"/>
      <c r="CL42" s="130">
        <v>272</v>
      </c>
      <c r="CM42" s="228">
        <v>6625</v>
      </c>
      <c r="CN42" s="138"/>
      <c r="CO42" s="142">
        <v>3.978723404255319</v>
      </c>
      <c r="CP42" s="142">
        <v>22.733325011442599</v>
      </c>
      <c r="CQ42" s="183">
        <v>-929.05660377358492</v>
      </c>
      <c r="CR42" s="144"/>
      <c r="CS42"/>
      <c r="CU42" s="232">
        <v>69.966605623182161</v>
      </c>
      <c r="CV42" s="143">
        <v>426.11320754716979</v>
      </c>
      <c r="CW42" s="146">
        <v>23.02044235924933</v>
      </c>
      <c r="CX42" s="143">
        <v>6756.2264150943392</v>
      </c>
      <c r="CY42" s="131">
        <v>10059</v>
      </c>
      <c r="CZ42" s="229">
        <v>3076</v>
      </c>
      <c r="DA42" s="229">
        <v>41613</v>
      </c>
      <c r="DB42" s="216">
        <v>-38537</v>
      </c>
      <c r="DC42" s="229">
        <v>25383</v>
      </c>
      <c r="DD42" s="229">
        <v>19607</v>
      </c>
      <c r="DE42" s="151"/>
      <c r="DG42" s="229">
        <v>-42</v>
      </c>
      <c r="DH42" s="229">
        <v>-98</v>
      </c>
      <c r="DI42" s="229">
        <v>6313</v>
      </c>
      <c r="DJ42" s="229">
        <v>1616</v>
      </c>
      <c r="DK42" s="229">
        <v>0</v>
      </c>
      <c r="DL42" s="229">
        <v>0</v>
      </c>
      <c r="DM42" s="229">
        <v>4697</v>
      </c>
      <c r="DN42" s="131">
        <v>70</v>
      </c>
      <c r="DO42" s="130">
        <v>0</v>
      </c>
      <c r="DP42" s="130">
        <v>0</v>
      </c>
      <c r="DQ42" s="130">
        <v>4767</v>
      </c>
      <c r="DR42" s="130">
        <v>2598</v>
      </c>
      <c r="DS42" s="130">
        <v>6291</v>
      </c>
      <c r="DT42" s="167"/>
      <c r="DU42" s="183">
        <v>-1328</v>
      </c>
      <c r="DV42" s="183">
        <v>-1553</v>
      </c>
      <c r="DW42" s="180">
        <v>5214</v>
      </c>
      <c r="DX42" s="130">
        <v>25383</v>
      </c>
      <c r="DY42" s="229">
        <v>21217</v>
      </c>
      <c r="DZ42" s="229">
        <v>1433</v>
      </c>
      <c r="EA42" s="229">
        <v>2733</v>
      </c>
      <c r="EB42" s="212">
        <v>21.25</v>
      </c>
      <c r="EC42" s="208"/>
      <c r="ED42" s="183">
        <v>46.970588235294201</v>
      </c>
      <c r="EE42" s="3">
        <v>28908</v>
      </c>
      <c r="EF42" s="183">
        <v>31041</v>
      </c>
      <c r="EG42" s="130">
        <v>28779</v>
      </c>
      <c r="EH42" s="130"/>
      <c r="EI42" s="130"/>
      <c r="EJ42" s="130">
        <v>920</v>
      </c>
      <c r="EK42" s="183">
        <v>-1271</v>
      </c>
      <c r="EL42" s="183">
        <v>286</v>
      </c>
      <c r="EM42" s="183">
        <v>140</v>
      </c>
      <c r="EN42" s="226">
        <v>-1312</v>
      </c>
      <c r="EO42" s="226">
        <v>202</v>
      </c>
      <c r="EP42" s="226">
        <v>137</v>
      </c>
      <c r="EQ42" s="226">
        <v>-1221</v>
      </c>
      <c r="ER42" s="230">
        <v>108</v>
      </c>
      <c r="ES42" s="230">
        <v>36</v>
      </c>
      <c r="ET42" s="3">
        <v>1800</v>
      </c>
      <c r="EU42" s="211">
        <v>0</v>
      </c>
      <c r="EV42" s="183">
        <v>1700</v>
      </c>
      <c r="EW42" s="183">
        <v>0</v>
      </c>
      <c r="EX42" s="130">
        <v>0</v>
      </c>
      <c r="EY42" s="183">
        <v>0</v>
      </c>
      <c r="EZ42" s="3">
        <v>9577</v>
      </c>
      <c r="FA42" s="3">
        <v>8194</v>
      </c>
      <c r="FB42" s="3">
        <v>1383</v>
      </c>
      <c r="FC42" s="3">
        <v>0</v>
      </c>
      <c r="FD42" s="226">
        <v>9894</v>
      </c>
      <c r="FE42" s="183">
        <v>8341</v>
      </c>
      <c r="FF42" s="183">
        <v>1553</v>
      </c>
      <c r="FG42" s="183">
        <v>0</v>
      </c>
      <c r="FH42" s="230">
        <v>8341</v>
      </c>
      <c r="FI42" s="130">
        <v>6788</v>
      </c>
      <c r="FJ42" s="130">
        <v>1553</v>
      </c>
      <c r="FK42" s="130">
        <v>0</v>
      </c>
      <c r="FL42" s="29">
        <v>2999.408721359941</v>
      </c>
      <c r="FM42" s="139">
        <v>2905.5282372224706</v>
      </c>
      <c r="FN42" s="139">
        <v>2637.4339622641505</v>
      </c>
      <c r="FO42" s="172">
        <f t="shared" si="0"/>
        <v>998.44705882352946</v>
      </c>
      <c r="FP42" s="170">
        <f t="shared" si="1"/>
        <v>150.70899001109876</v>
      </c>
      <c r="FR42" s="175"/>
      <c r="FS42" s="195"/>
      <c r="FV42" s="175">
        <v>555</v>
      </c>
      <c r="FW42" s="2">
        <f t="shared" si="2"/>
        <v>-555</v>
      </c>
      <c r="FZ42" s="186"/>
      <c r="GA42" s="2"/>
      <c r="GB42" s="2"/>
    </row>
    <row r="43" spans="1:184" ht="13" x14ac:dyDescent="0.3">
      <c r="A43" s="77">
        <v>143</v>
      </c>
      <c r="B43" s="75" t="s">
        <v>42</v>
      </c>
      <c r="C43" s="179">
        <v>7003</v>
      </c>
      <c r="D43" s="138"/>
      <c r="E43" s="142">
        <v>0.3441164577436312</v>
      </c>
      <c r="F43" s="142">
        <v>71.688852081523819</v>
      </c>
      <c r="G43" s="183">
        <v>-4206.3401399400254</v>
      </c>
      <c r="H43" s="144"/>
      <c r="I43" s="186"/>
      <c r="K43" s="210">
        <v>35.885107149288672</v>
      </c>
      <c r="L43" s="143">
        <v>261.88776238754821</v>
      </c>
      <c r="M43" s="146">
        <v>12.097406704617331</v>
      </c>
      <c r="N43" s="143">
        <v>7901.6135941739258</v>
      </c>
      <c r="O43" s="138">
        <v>22783</v>
      </c>
      <c r="P43" s="143">
        <v>6913</v>
      </c>
      <c r="Q43" s="184">
        <v>49168</v>
      </c>
      <c r="R43" s="184">
        <v>-42255</v>
      </c>
      <c r="S43" s="139">
        <v>24827</v>
      </c>
      <c r="T43" s="138">
        <v>17767</v>
      </c>
      <c r="U43" s="151"/>
      <c r="W43" s="183">
        <v>-88</v>
      </c>
      <c r="X43" s="183">
        <v>484</v>
      </c>
      <c r="Y43" s="184">
        <v>735</v>
      </c>
      <c r="Z43" s="130">
        <v>2326</v>
      </c>
      <c r="AA43" s="130">
        <v>0</v>
      </c>
      <c r="AB43" s="130">
        <v>0</v>
      </c>
      <c r="AC43" s="184">
        <v>-1591</v>
      </c>
      <c r="AD43" s="184">
        <v>2</v>
      </c>
      <c r="AE43" s="183">
        <v>0</v>
      </c>
      <c r="AF43" s="183">
        <v>0</v>
      </c>
      <c r="AG43" s="183">
        <v>-1589</v>
      </c>
      <c r="AH43" s="183">
        <v>-1377</v>
      </c>
      <c r="AI43" s="183">
        <v>666</v>
      </c>
      <c r="AJ43" s="167"/>
      <c r="AK43" s="183">
        <v>59</v>
      </c>
      <c r="AL43" s="183">
        <v>-2357</v>
      </c>
      <c r="AM43" s="180">
        <v>-2833</v>
      </c>
      <c r="AN43" s="139">
        <v>24827</v>
      </c>
      <c r="AO43" s="138">
        <v>20257</v>
      </c>
      <c r="AP43" s="184">
        <v>1663</v>
      </c>
      <c r="AQ43" s="138">
        <v>2907</v>
      </c>
      <c r="AR43" s="109">
        <v>21.25</v>
      </c>
      <c r="AS43" s="144"/>
      <c r="AT43" s="139">
        <v>214</v>
      </c>
      <c r="AU43" s="228">
        <v>6942</v>
      </c>
      <c r="AV43" s="138"/>
      <c r="AW43" s="224">
        <v>2.4251883422877211E-2</v>
      </c>
      <c r="AX43" s="225">
        <v>71.249696577392996</v>
      </c>
      <c r="AY43" s="139">
        <v>-4397.1477960242009</v>
      </c>
      <c r="AZ43" s="144"/>
      <c r="BA43"/>
      <c r="BC43" s="189">
        <v>33.153436773855034</v>
      </c>
      <c r="BD43" s="183">
        <v>136.12791702679345</v>
      </c>
      <c r="BE43" s="140">
        <v>6.43480775329739</v>
      </c>
      <c r="BF43" s="139">
        <v>7721.5499855949292</v>
      </c>
      <c r="BG43" s="184">
        <v>22421</v>
      </c>
      <c r="BH43" s="216">
        <v>7275</v>
      </c>
      <c r="BI43" s="216">
        <v>49603</v>
      </c>
      <c r="BJ43" s="216">
        <v>-42328</v>
      </c>
      <c r="BK43" s="216">
        <v>24486</v>
      </c>
      <c r="BL43" s="216">
        <v>17675</v>
      </c>
      <c r="BM43" s="151"/>
      <c r="BO43" s="216">
        <v>-157</v>
      </c>
      <c r="BP43" s="216">
        <v>239</v>
      </c>
      <c r="BQ43" s="216">
        <v>-85</v>
      </c>
      <c r="BR43" s="216">
        <v>2185</v>
      </c>
      <c r="BS43" s="216">
        <v>0</v>
      </c>
      <c r="BT43" s="216">
        <v>0</v>
      </c>
      <c r="BU43" s="216">
        <v>-2270</v>
      </c>
      <c r="BV43" s="184">
        <v>2</v>
      </c>
      <c r="BW43" s="183">
        <v>0</v>
      </c>
      <c r="BX43" s="183">
        <v>0</v>
      </c>
      <c r="BY43" s="183">
        <v>-2268</v>
      </c>
      <c r="BZ43" s="183">
        <v>-3610</v>
      </c>
      <c r="CA43" s="183">
        <v>-140</v>
      </c>
      <c r="CB43" s="167"/>
      <c r="CC43" s="183">
        <v>444</v>
      </c>
      <c r="CD43" s="183">
        <v>-2357</v>
      </c>
      <c r="CE43" s="180">
        <v>-1454</v>
      </c>
      <c r="CF43" s="139">
        <v>24486</v>
      </c>
      <c r="CG43" s="216">
        <v>19957</v>
      </c>
      <c r="CH43" s="216">
        <v>1770</v>
      </c>
      <c r="CI43" s="216">
        <v>2759</v>
      </c>
      <c r="CJ43" s="212">
        <v>21.75</v>
      </c>
      <c r="CK43" s="144"/>
      <c r="CL43" s="130">
        <v>236</v>
      </c>
      <c r="CM43" s="228">
        <v>6866</v>
      </c>
      <c r="CN43" s="138"/>
      <c r="CO43" s="142">
        <v>2.4159680638722554</v>
      </c>
      <c r="CP43" s="142">
        <v>57.23899464604402</v>
      </c>
      <c r="CQ43" s="183">
        <v>-3814.0110690358288</v>
      </c>
      <c r="CR43" s="144"/>
      <c r="CS43"/>
      <c r="CU43" s="232">
        <v>39.763854868340481</v>
      </c>
      <c r="CV43" s="143">
        <v>149.57762889600932</v>
      </c>
      <c r="CW43" s="146">
        <v>7.2230572094726089</v>
      </c>
      <c r="CX43" s="143">
        <v>7558.5493737256047</v>
      </c>
      <c r="CY43" s="131">
        <v>21971</v>
      </c>
      <c r="CZ43" s="229">
        <v>7091</v>
      </c>
      <c r="DA43" s="229">
        <v>48036</v>
      </c>
      <c r="DB43" s="216">
        <v>-40945</v>
      </c>
      <c r="DC43" s="229">
        <v>25705</v>
      </c>
      <c r="DD43" s="229">
        <v>20996</v>
      </c>
      <c r="DE43" s="151"/>
      <c r="DG43" s="229">
        <v>-120</v>
      </c>
      <c r="DH43" s="229">
        <v>268</v>
      </c>
      <c r="DI43" s="229">
        <v>5904</v>
      </c>
      <c r="DJ43" s="229">
        <v>2529</v>
      </c>
      <c r="DK43" s="229">
        <v>0</v>
      </c>
      <c r="DL43" s="229">
        <v>0</v>
      </c>
      <c r="DM43" s="229">
        <v>3375</v>
      </c>
      <c r="DN43" s="131">
        <v>2</v>
      </c>
      <c r="DO43" s="130">
        <v>0</v>
      </c>
      <c r="DP43" s="130">
        <v>0</v>
      </c>
      <c r="DQ43" s="130">
        <v>3377</v>
      </c>
      <c r="DR43" s="130">
        <v>-521</v>
      </c>
      <c r="DS43" s="130">
        <v>5756</v>
      </c>
      <c r="DT43" s="167"/>
      <c r="DU43" s="183">
        <v>179</v>
      </c>
      <c r="DV43" s="183">
        <v>-2357</v>
      </c>
      <c r="DW43" s="180">
        <v>4719</v>
      </c>
      <c r="DX43" s="130">
        <v>25705</v>
      </c>
      <c r="DY43" s="229">
        <v>21116</v>
      </c>
      <c r="DZ43" s="229">
        <v>1945</v>
      </c>
      <c r="EA43" s="229">
        <v>2644</v>
      </c>
      <c r="EB43" s="212">
        <v>22</v>
      </c>
      <c r="EC43" s="208"/>
      <c r="ED43" s="183">
        <v>69.132352941176507</v>
      </c>
      <c r="EE43" s="3">
        <v>20893</v>
      </c>
      <c r="EF43" s="183">
        <v>21752</v>
      </c>
      <c r="EG43" s="130">
        <v>20687</v>
      </c>
      <c r="EH43" s="130"/>
      <c r="EI43" s="130"/>
      <c r="EJ43" s="130">
        <v>960</v>
      </c>
      <c r="EK43" s="183">
        <v>-3679</v>
      </c>
      <c r="EL43" s="183">
        <v>90</v>
      </c>
      <c r="EM43" s="183">
        <v>90</v>
      </c>
      <c r="EN43" s="226">
        <v>-1448</v>
      </c>
      <c r="EO43" s="226">
        <v>4</v>
      </c>
      <c r="EP43" s="226">
        <v>130</v>
      </c>
      <c r="EQ43" s="226">
        <v>-1344</v>
      </c>
      <c r="ER43" s="230">
        <v>143</v>
      </c>
      <c r="ES43" s="230">
        <v>164</v>
      </c>
      <c r="ET43" s="3">
        <v>10000</v>
      </c>
      <c r="EU43" s="211">
        <v>-5800</v>
      </c>
      <c r="EV43" s="183">
        <v>0</v>
      </c>
      <c r="EW43" s="183">
        <v>3300</v>
      </c>
      <c r="EX43" s="130">
        <v>0</v>
      </c>
      <c r="EY43" s="183">
        <v>-3200</v>
      </c>
      <c r="EZ43" s="3">
        <v>28771</v>
      </c>
      <c r="FA43" s="3">
        <v>20714</v>
      </c>
      <c r="FB43" s="3">
        <v>8057</v>
      </c>
      <c r="FC43" s="3">
        <v>0</v>
      </c>
      <c r="FD43" s="226">
        <v>29714</v>
      </c>
      <c r="FE43" s="183">
        <v>18357</v>
      </c>
      <c r="FF43" s="183">
        <v>11357</v>
      </c>
      <c r="FG43" s="183">
        <v>0</v>
      </c>
      <c r="FH43" s="230">
        <v>24157</v>
      </c>
      <c r="FI43" s="130">
        <v>16000</v>
      </c>
      <c r="FJ43" s="130">
        <v>8157</v>
      </c>
      <c r="FK43" s="130">
        <v>0</v>
      </c>
      <c r="FL43" s="29">
        <v>6533.0572611737825</v>
      </c>
      <c r="FM43" s="139">
        <v>6869.9222126188415</v>
      </c>
      <c r="FN43" s="139">
        <v>6293.1838042528407</v>
      </c>
      <c r="FO43" s="172">
        <f t="shared" si="0"/>
        <v>959.81818181818187</v>
      </c>
      <c r="FP43" s="170">
        <f t="shared" si="1"/>
        <v>139.79291899478326</v>
      </c>
      <c r="FR43" s="175"/>
      <c r="FS43" s="195"/>
      <c r="FV43" s="175">
        <v>744</v>
      </c>
      <c r="FW43" s="2">
        <f t="shared" si="2"/>
        <v>-744</v>
      </c>
      <c r="FZ43" s="186"/>
      <c r="GA43" s="2"/>
      <c r="GB43" s="2"/>
    </row>
    <row r="44" spans="1:184" ht="13" x14ac:dyDescent="0.3">
      <c r="A44" s="77">
        <v>145</v>
      </c>
      <c r="B44" s="75" t="s">
        <v>43</v>
      </c>
      <c r="C44" s="179">
        <v>12187</v>
      </c>
      <c r="D44" s="138"/>
      <c r="E44" s="142">
        <v>0.63123644251626898</v>
      </c>
      <c r="F44" s="142">
        <v>69.059656218402424</v>
      </c>
      <c r="G44" s="183">
        <v>-4119.5536227127268</v>
      </c>
      <c r="H44" s="144"/>
      <c r="I44" s="186"/>
      <c r="K44" s="210">
        <v>42.5110389955844</v>
      </c>
      <c r="L44" s="143">
        <v>67.941248871748584</v>
      </c>
      <c r="M44" s="146">
        <v>3.6226550794126462</v>
      </c>
      <c r="N44" s="143">
        <v>6845.4090424222532</v>
      </c>
      <c r="O44" s="138">
        <v>26920</v>
      </c>
      <c r="P44" s="143">
        <v>10214</v>
      </c>
      <c r="Q44" s="184">
        <v>75765</v>
      </c>
      <c r="R44" s="184">
        <v>-65551</v>
      </c>
      <c r="S44" s="139">
        <v>39149</v>
      </c>
      <c r="T44" s="138">
        <v>28873</v>
      </c>
      <c r="U44" s="151"/>
      <c r="W44" s="183">
        <v>-351</v>
      </c>
      <c r="X44" s="183">
        <v>128</v>
      </c>
      <c r="Y44" s="184">
        <v>2248</v>
      </c>
      <c r="Z44" s="130">
        <v>3023</v>
      </c>
      <c r="AA44" s="131">
        <v>0</v>
      </c>
      <c r="AB44" s="131">
        <v>0</v>
      </c>
      <c r="AC44" s="184">
        <v>-775</v>
      </c>
      <c r="AD44" s="183">
        <v>0</v>
      </c>
      <c r="AE44" s="183">
        <v>0</v>
      </c>
      <c r="AF44" s="183">
        <v>0</v>
      </c>
      <c r="AG44" s="183">
        <v>-775</v>
      </c>
      <c r="AH44" s="183">
        <v>8934</v>
      </c>
      <c r="AI44" s="183">
        <v>1601</v>
      </c>
      <c r="AJ44" s="167"/>
      <c r="AK44" s="183">
        <v>-235</v>
      </c>
      <c r="AL44" s="183">
        <v>-3778</v>
      </c>
      <c r="AM44" s="180">
        <v>-1126</v>
      </c>
      <c r="AN44" s="139">
        <v>39149</v>
      </c>
      <c r="AO44" s="138">
        <v>35062</v>
      </c>
      <c r="AP44" s="184">
        <v>1571</v>
      </c>
      <c r="AQ44" s="138">
        <v>2516</v>
      </c>
      <c r="AR44" s="109">
        <v>20.75</v>
      </c>
      <c r="AS44" s="144"/>
      <c r="AT44" s="139">
        <v>178</v>
      </c>
      <c r="AU44" s="228">
        <v>12269</v>
      </c>
      <c r="AV44" s="138"/>
      <c r="AW44" s="224">
        <v>-5.4651224849228797E-2</v>
      </c>
      <c r="AX44" s="225">
        <v>73.745867381947477</v>
      </c>
      <c r="AY44" s="139">
        <v>-4509.7399951096259</v>
      </c>
      <c r="AZ44" s="144"/>
      <c r="BA44"/>
      <c r="BC44" s="189">
        <v>37.880967128954026</v>
      </c>
      <c r="BD44" s="183">
        <v>95.851332626945961</v>
      </c>
      <c r="BE44" s="140">
        <v>4.6095360824742269</v>
      </c>
      <c r="BF44" s="139">
        <v>7589.8606243377617</v>
      </c>
      <c r="BG44" s="184">
        <v>28326</v>
      </c>
      <c r="BH44" s="216">
        <v>9963</v>
      </c>
      <c r="BI44" s="216">
        <v>80786</v>
      </c>
      <c r="BJ44" s="216">
        <v>-70749</v>
      </c>
      <c r="BK44" s="216">
        <v>40904</v>
      </c>
      <c r="BL44" s="216">
        <v>29288</v>
      </c>
      <c r="BM44" s="151"/>
      <c r="BO44" s="216">
        <v>-335</v>
      </c>
      <c r="BP44" s="216">
        <v>155</v>
      </c>
      <c r="BQ44" s="216">
        <v>-737</v>
      </c>
      <c r="BR44" s="216">
        <v>3135</v>
      </c>
      <c r="BS44" s="216">
        <v>0</v>
      </c>
      <c r="BT44" s="216">
        <v>0</v>
      </c>
      <c r="BU44" s="216">
        <v>-3872</v>
      </c>
      <c r="BV44" s="183">
        <v>0</v>
      </c>
      <c r="BW44" s="183">
        <v>0</v>
      </c>
      <c r="BX44" s="183">
        <v>0</v>
      </c>
      <c r="BY44" s="183">
        <v>-3872</v>
      </c>
      <c r="BZ44" s="183">
        <v>5062</v>
      </c>
      <c r="CA44" s="183">
        <v>-1265</v>
      </c>
      <c r="CB44" s="167"/>
      <c r="CC44" s="183">
        <v>318</v>
      </c>
      <c r="CD44" s="183">
        <v>-7390</v>
      </c>
      <c r="CE44" s="180">
        <v>-5129</v>
      </c>
      <c r="CF44" s="139">
        <v>40904</v>
      </c>
      <c r="CG44" s="216">
        <v>36607</v>
      </c>
      <c r="CH44" s="216">
        <v>1626</v>
      </c>
      <c r="CI44" s="216">
        <v>2671</v>
      </c>
      <c r="CJ44" s="212">
        <v>20.75</v>
      </c>
      <c r="CK44" s="144"/>
      <c r="CL44" s="130">
        <v>248</v>
      </c>
      <c r="CM44" s="228">
        <v>12294</v>
      </c>
      <c r="CN44" s="138"/>
      <c r="CO44" s="142">
        <v>1.2001230264506868</v>
      </c>
      <c r="CP44" s="142">
        <v>77.269350765116627</v>
      </c>
      <c r="CQ44" s="183">
        <v>-4987.8802667968112</v>
      </c>
      <c r="CR44" s="144"/>
      <c r="CS44"/>
      <c r="CU44" s="232">
        <v>35.150902747326079</v>
      </c>
      <c r="CV44" s="143">
        <v>291.11761835041483</v>
      </c>
      <c r="CW44" s="146">
        <v>13.395697248741271</v>
      </c>
      <c r="CX44" s="143">
        <v>7932.2433707499595</v>
      </c>
      <c r="CY44" s="131">
        <v>28181</v>
      </c>
      <c r="CZ44" s="229">
        <v>9395</v>
      </c>
      <c r="DA44" s="229">
        <v>81860</v>
      </c>
      <c r="DB44" s="216">
        <v>-72465</v>
      </c>
      <c r="DC44" s="229">
        <v>43264</v>
      </c>
      <c r="DD44" s="229">
        <v>34908</v>
      </c>
      <c r="DE44" s="151"/>
      <c r="DG44" s="229">
        <v>-326</v>
      </c>
      <c r="DH44" s="229">
        <v>128</v>
      </c>
      <c r="DI44" s="229">
        <v>5509</v>
      </c>
      <c r="DJ44" s="229">
        <v>3209</v>
      </c>
      <c r="DK44" s="229">
        <v>0</v>
      </c>
      <c r="DL44" s="229">
        <v>0</v>
      </c>
      <c r="DM44" s="229">
        <v>2300</v>
      </c>
      <c r="DN44" s="130">
        <v>0</v>
      </c>
      <c r="DO44" s="130">
        <v>0</v>
      </c>
      <c r="DP44" s="130">
        <v>0</v>
      </c>
      <c r="DQ44" s="130">
        <v>2300</v>
      </c>
      <c r="DR44" s="130">
        <v>5854</v>
      </c>
      <c r="DS44" s="130">
        <v>3768</v>
      </c>
      <c r="DT44" s="167"/>
      <c r="DU44" s="183">
        <v>-108</v>
      </c>
      <c r="DV44" s="183">
        <v>-4533</v>
      </c>
      <c r="DW44" s="180">
        <v>-6276</v>
      </c>
      <c r="DX44" s="130">
        <v>43264</v>
      </c>
      <c r="DY44" s="229">
        <v>39060</v>
      </c>
      <c r="DZ44" s="229">
        <v>1764</v>
      </c>
      <c r="EA44" s="229">
        <v>2440</v>
      </c>
      <c r="EB44" s="212">
        <v>21</v>
      </c>
      <c r="EC44" s="208"/>
      <c r="ED44" s="183">
        <v>244.41176470588201</v>
      </c>
      <c r="EE44" s="3">
        <v>40794</v>
      </c>
      <c r="EF44" s="183">
        <v>44362</v>
      </c>
      <c r="EG44" s="130">
        <v>44764</v>
      </c>
      <c r="EH44" s="130"/>
      <c r="EI44" s="130"/>
      <c r="EJ44" s="130"/>
      <c r="EK44" s="183">
        <v>-3539</v>
      </c>
      <c r="EL44" s="183">
        <v>0</v>
      </c>
      <c r="EM44" s="183">
        <v>812</v>
      </c>
      <c r="EN44" s="226">
        <v>-4482</v>
      </c>
      <c r="EO44" s="226">
        <v>0</v>
      </c>
      <c r="EP44" s="226">
        <v>618</v>
      </c>
      <c r="EQ44" s="226">
        <v>-10801</v>
      </c>
      <c r="ER44" s="230">
        <v>43</v>
      </c>
      <c r="ES44" s="230">
        <v>714</v>
      </c>
      <c r="ET44" s="3">
        <v>3450</v>
      </c>
      <c r="EU44" s="211">
        <v>173</v>
      </c>
      <c r="EV44" s="183">
        <v>13450</v>
      </c>
      <c r="EW44" s="183">
        <v>-1077</v>
      </c>
      <c r="EX44" s="130">
        <v>15001</v>
      </c>
      <c r="EY44" s="183">
        <v>-3207</v>
      </c>
      <c r="EZ44" s="3">
        <v>43476</v>
      </c>
      <c r="FA44" s="3">
        <v>34784</v>
      </c>
      <c r="FB44" s="3">
        <v>8692</v>
      </c>
      <c r="FC44" s="3">
        <v>1058</v>
      </c>
      <c r="FD44" s="226">
        <v>48459</v>
      </c>
      <c r="FE44" s="183">
        <v>40844</v>
      </c>
      <c r="FF44" s="183">
        <v>7615</v>
      </c>
      <c r="FG44" s="183">
        <v>1073</v>
      </c>
      <c r="FH44" s="230">
        <v>55720</v>
      </c>
      <c r="FI44" s="130">
        <v>51312</v>
      </c>
      <c r="FJ44" s="130">
        <v>4408</v>
      </c>
      <c r="FK44" s="130">
        <v>879</v>
      </c>
      <c r="FL44" s="29">
        <v>5690.1616476573399</v>
      </c>
      <c r="FM44" s="139">
        <v>6111.8265547314368</v>
      </c>
      <c r="FN44" s="139">
        <v>6754.1076948104774</v>
      </c>
      <c r="FO44" s="172">
        <f t="shared" si="0"/>
        <v>1860</v>
      </c>
      <c r="FP44" s="170">
        <f t="shared" si="1"/>
        <v>151.29331381161543</v>
      </c>
      <c r="FR44" s="175"/>
      <c r="FS44" s="195"/>
      <c r="FV44" s="175">
        <v>2979</v>
      </c>
      <c r="FW44" s="2">
        <f t="shared" si="2"/>
        <v>-2979</v>
      </c>
      <c r="FZ44" s="186"/>
      <c r="GA44" s="2"/>
      <c r="GB44" s="2"/>
    </row>
    <row r="45" spans="1:184" ht="13" x14ac:dyDescent="0.3">
      <c r="A45" s="77">
        <v>146</v>
      </c>
      <c r="B45" s="75" t="s">
        <v>44</v>
      </c>
      <c r="C45" s="179">
        <v>4973</v>
      </c>
      <c r="D45" s="138"/>
      <c r="E45" s="142">
        <v>0.58711721224920799</v>
      </c>
      <c r="F45" s="142">
        <v>31.295688582097998</v>
      </c>
      <c r="G45" s="183">
        <v>-2014.6792680474564</v>
      </c>
      <c r="H45" s="144"/>
      <c r="I45" s="186"/>
      <c r="K45" s="210">
        <v>64.262169413568415</v>
      </c>
      <c r="L45" s="143">
        <v>369.394731550372</v>
      </c>
      <c r="M45" s="146">
        <v>14.472684495672256</v>
      </c>
      <c r="N45" s="143">
        <v>9316.1069776794702</v>
      </c>
      <c r="O45" s="138">
        <v>10416</v>
      </c>
      <c r="P45" s="143">
        <v>6019</v>
      </c>
      <c r="Q45" s="184">
        <v>43575</v>
      </c>
      <c r="R45" s="184">
        <v>-37556</v>
      </c>
      <c r="S45" s="139">
        <v>17060</v>
      </c>
      <c r="T45" s="138">
        <v>21278</v>
      </c>
      <c r="U45" s="151"/>
      <c r="W45" s="183">
        <v>-114</v>
      </c>
      <c r="X45" s="183">
        <v>327</v>
      </c>
      <c r="Y45" s="184">
        <v>995</v>
      </c>
      <c r="Z45" s="130">
        <v>2083</v>
      </c>
      <c r="AA45" s="130">
        <v>0</v>
      </c>
      <c r="AB45" s="130">
        <v>0</v>
      </c>
      <c r="AC45" s="184">
        <v>-1088</v>
      </c>
      <c r="AD45" s="184">
        <v>49</v>
      </c>
      <c r="AE45" s="183">
        <v>0</v>
      </c>
      <c r="AF45" s="184">
        <v>0</v>
      </c>
      <c r="AG45" s="183">
        <v>-1039</v>
      </c>
      <c r="AH45" s="183">
        <v>5163</v>
      </c>
      <c r="AI45" s="183">
        <v>992</v>
      </c>
      <c r="AJ45" s="167"/>
      <c r="AK45" s="183">
        <v>-449</v>
      </c>
      <c r="AL45" s="183">
        <v>-1777</v>
      </c>
      <c r="AM45" s="180">
        <v>9</v>
      </c>
      <c r="AN45" s="139">
        <v>17060</v>
      </c>
      <c r="AO45" s="138">
        <v>12588</v>
      </c>
      <c r="AP45" s="184">
        <v>3121</v>
      </c>
      <c r="AQ45" s="138">
        <v>1351</v>
      </c>
      <c r="AR45" s="109">
        <v>20.75</v>
      </c>
      <c r="AS45" s="144"/>
      <c r="AT45" s="139">
        <v>171</v>
      </c>
      <c r="AU45" s="228">
        <v>4857</v>
      </c>
      <c r="AV45" s="138"/>
      <c r="AW45" s="224">
        <v>0.679802035670931</v>
      </c>
      <c r="AX45" s="225">
        <v>26.093009678216156</v>
      </c>
      <c r="AY45" s="139">
        <v>-1906.5266625488985</v>
      </c>
      <c r="AZ45" s="144"/>
      <c r="BA45"/>
      <c r="BC45" s="189">
        <v>67.083205489386629</v>
      </c>
      <c r="BD45" s="183">
        <v>195.1822112415071</v>
      </c>
      <c r="BE45" s="140">
        <v>7.1381124290871583</v>
      </c>
      <c r="BF45" s="139">
        <v>9980.4406011941519</v>
      </c>
      <c r="BG45" s="184">
        <v>10243</v>
      </c>
      <c r="BH45" s="216">
        <v>5691</v>
      </c>
      <c r="BI45" s="216">
        <v>44058</v>
      </c>
      <c r="BJ45" s="216">
        <v>-38269</v>
      </c>
      <c r="BK45" s="216">
        <v>17290</v>
      </c>
      <c r="BL45" s="216">
        <v>21552</v>
      </c>
      <c r="BM45" s="151"/>
      <c r="BO45" s="216">
        <v>-104</v>
      </c>
      <c r="BP45" s="216">
        <v>337</v>
      </c>
      <c r="BQ45" s="216">
        <v>806</v>
      </c>
      <c r="BR45" s="216">
        <v>1903</v>
      </c>
      <c r="BS45" s="216">
        <v>0</v>
      </c>
      <c r="BT45" s="216">
        <v>0</v>
      </c>
      <c r="BU45" s="216">
        <v>-1097</v>
      </c>
      <c r="BV45" s="184">
        <v>94</v>
      </c>
      <c r="BW45" s="183">
        <v>0</v>
      </c>
      <c r="BX45" s="184">
        <v>0</v>
      </c>
      <c r="BY45" s="183">
        <v>-1003</v>
      </c>
      <c r="BZ45" s="183">
        <v>4159</v>
      </c>
      <c r="CA45" s="183">
        <v>533</v>
      </c>
      <c r="CB45" s="167"/>
      <c r="CC45" s="183">
        <v>562</v>
      </c>
      <c r="CD45" s="183">
        <v>-1777</v>
      </c>
      <c r="CE45" s="180">
        <v>834</v>
      </c>
      <c r="CF45" s="139">
        <v>17290</v>
      </c>
      <c r="CG45" s="216">
        <v>12804</v>
      </c>
      <c r="CH45" s="216">
        <v>3002</v>
      </c>
      <c r="CI45" s="216">
        <v>1484</v>
      </c>
      <c r="CJ45" s="212">
        <v>21</v>
      </c>
      <c r="CK45" s="144"/>
      <c r="CL45" s="130">
        <v>143</v>
      </c>
      <c r="CM45" s="228">
        <v>4749</v>
      </c>
      <c r="CN45" s="138"/>
      <c r="CO45" s="142">
        <v>2.4892984542211654</v>
      </c>
      <c r="CP45" s="142">
        <v>27.252292352888809</v>
      </c>
      <c r="CQ45" s="183">
        <v>-1105.0747525794905</v>
      </c>
      <c r="CR45" s="144"/>
      <c r="CS45"/>
      <c r="CU45" s="232">
        <v>67.495663707784914</v>
      </c>
      <c r="CV45" s="143">
        <v>1198.7786902505791</v>
      </c>
      <c r="CW45" s="146">
        <v>47.965121647200036</v>
      </c>
      <c r="CX45" s="143">
        <v>9122.3415455885442</v>
      </c>
      <c r="CY45" s="131">
        <v>9406</v>
      </c>
      <c r="CZ45" s="229">
        <v>4923</v>
      </c>
      <c r="DA45" s="229">
        <v>41159</v>
      </c>
      <c r="DB45" s="216">
        <v>-36236</v>
      </c>
      <c r="DC45" s="229">
        <v>17462</v>
      </c>
      <c r="DD45" s="229">
        <v>22633</v>
      </c>
      <c r="DE45" s="151"/>
      <c r="DG45" s="229">
        <v>-88</v>
      </c>
      <c r="DH45" s="229">
        <v>328</v>
      </c>
      <c r="DI45" s="229">
        <v>4099</v>
      </c>
      <c r="DJ45" s="229">
        <v>1689</v>
      </c>
      <c r="DK45" s="229">
        <v>0</v>
      </c>
      <c r="DL45" s="229">
        <v>0</v>
      </c>
      <c r="DM45" s="229">
        <v>2410</v>
      </c>
      <c r="DN45" s="131">
        <v>43</v>
      </c>
      <c r="DO45" s="130">
        <v>-500</v>
      </c>
      <c r="DP45" s="131">
        <v>0</v>
      </c>
      <c r="DQ45" s="130">
        <v>1953</v>
      </c>
      <c r="DR45" s="130">
        <v>6112</v>
      </c>
      <c r="DS45" s="130">
        <v>4425</v>
      </c>
      <c r="DT45" s="167"/>
      <c r="DU45" s="183">
        <v>108</v>
      </c>
      <c r="DV45" s="183">
        <v>-1594</v>
      </c>
      <c r="DW45" s="180">
        <v>4004</v>
      </c>
      <c r="DX45" s="130">
        <v>17462</v>
      </c>
      <c r="DY45" s="229">
        <v>12966</v>
      </c>
      <c r="DZ45" s="229">
        <v>3160</v>
      </c>
      <c r="EA45" s="229">
        <v>1336</v>
      </c>
      <c r="EB45" s="212">
        <v>21</v>
      </c>
      <c r="EC45" s="208"/>
      <c r="ED45" s="183">
        <v>67.117647058823593</v>
      </c>
      <c r="EE45" s="3">
        <v>29737</v>
      </c>
      <c r="EF45" s="183">
        <v>30618</v>
      </c>
      <c r="EG45" s="130">
        <v>28552</v>
      </c>
      <c r="EH45" s="130"/>
      <c r="EI45" s="130"/>
      <c r="EJ45" s="130"/>
      <c r="EK45" s="183">
        <v>-1015</v>
      </c>
      <c r="EL45" s="183">
        <v>0</v>
      </c>
      <c r="EM45" s="183">
        <v>32</v>
      </c>
      <c r="EN45" s="226">
        <v>-2521</v>
      </c>
      <c r="EO45" s="226">
        <v>0</v>
      </c>
      <c r="EP45" s="226">
        <v>2822</v>
      </c>
      <c r="EQ45" s="226">
        <v>-547</v>
      </c>
      <c r="ER45" s="230">
        <v>10</v>
      </c>
      <c r="ES45" s="230">
        <v>116</v>
      </c>
      <c r="ET45" s="3">
        <v>1000</v>
      </c>
      <c r="EU45" s="211">
        <v>0</v>
      </c>
      <c r="EV45" s="183">
        <v>0</v>
      </c>
      <c r="EW45" s="183">
        <v>0</v>
      </c>
      <c r="EX45" s="130">
        <v>2000</v>
      </c>
      <c r="EY45" s="183">
        <v>0</v>
      </c>
      <c r="EZ45" s="3">
        <v>10864</v>
      </c>
      <c r="FA45" s="3">
        <v>9087</v>
      </c>
      <c r="FB45" s="3">
        <v>1777</v>
      </c>
      <c r="FC45" s="3">
        <v>1017</v>
      </c>
      <c r="FD45" s="226">
        <v>9086</v>
      </c>
      <c r="FE45" s="183">
        <v>7493</v>
      </c>
      <c r="FF45" s="183">
        <v>1593</v>
      </c>
      <c r="FG45" s="183">
        <v>1017</v>
      </c>
      <c r="FH45" s="230">
        <v>9492</v>
      </c>
      <c r="FI45" s="130">
        <v>8016</v>
      </c>
      <c r="FJ45" s="130">
        <v>1476</v>
      </c>
      <c r="FK45" s="130">
        <v>1017</v>
      </c>
      <c r="FL45" s="29">
        <v>3916.1471948522021</v>
      </c>
      <c r="FM45" s="139">
        <v>3959.2340951204446</v>
      </c>
      <c r="FN45" s="139">
        <v>4336.9130343230154</v>
      </c>
      <c r="FO45" s="172">
        <f t="shared" si="0"/>
        <v>617.42857142857144</v>
      </c>
      <c r="FP45" s="170">
        <f t="shared" si="1"/>
        <v>130.0123334235779</v>
      </c>
      <c r="FR45" s="175"/>
      <c r="FS45" s="195"/>
      <c r="FV45" s="175">
        <v>0</v>
      </c>
      <c r="FW45" s="2">
        <f t="shared" si="2"/>
        <v>0</v>
      </c>
      <c r="FZ45" s="186"/>
      <c r="GA45" s="2"/>
      <c r="GB45" s="2"/>
    </row>
    <row r="46" spans="1:184" ht="13" x14ac:dyDescent="0.3">
      <c r="A46" s="77">
        <v>153</v>
      </c>
      <c r="B46" s="75" t="s">
        <v>49</v>
      </c>
      <c r="C46" s="179">
        <v>26932</v>
      </c>
      <c r="D46" s="138"/>
      <c r="E46" s="142">
        <v>0.69911082883455067</v>
      </c>
      <c r="F46" s="142">
        <v>57.459675171944845</v>
      </c>
      <c r="G46" s="183">
        <v>-2693.1531263923957</v>
      </c>
      <c r="H46" s="144"/>
      <c r="I46" s="186"/>
      <c r="K46" s="210">
        <v>58.182378661647917</v>
      </c>
      <c r="L46" s="143">
        <v>669.31531263923955</v>
      </c>
      <c r="M46" s="146">
        <v>31.704871267281217</v>
      </c>
      <c r="N46" s="143">
        <v>7705.4433387791478</v>
      </c>
      <c r="O46" s="138">
        <v>37348</v>
      </c>
      <c r="P46" s="143">
        <v>20345</v>
      </c>
      <c r="Q46" s="184">
        <v>171119</v>
      </c>
      <c r="R46" s="184">
        <v>-150774</v>
      </c>
      <c r="S46" s="139">
        <v>103034</v>
      </c>
      <c r="T46" s="138">
        <v>56039</v>
      </c>
      <c r="U46" s="151"/>
      <c r="W46" s="183">
        <v>-368</v>
      </c>
      <c r="X46" s="183">
        <v>162</v>
      </c>
      <c r="Y46" s="184">
        <v>8093</v>
      </c>
      <c r="Z46" s="130">
        <v>8355</v>
      </c>
      <c r="AA46" s="130">
        <v>0</v>
      </c>
      <c r="AB46" s="130">
        <v>0</v>
      </c>
      <c r="AC46" s="184">
        <v>-262</v>
      </c>
      <c r="AD46" s="184">
        <v>0</v>
      </c>
      <c r="AE46" s="184">
        <v>0</v>
      </c>
      <c r="AF46" s="183">
        <v>380</v>
      </c>
      <c r="AG46" s="183">
        <v>118</v>
      </c>
      <c r="AH46" s="183">
        <v>65900</v>
      </c>
      <c r="AI46" s="183">
        <v>9830</v>
      </c>
      <c r="AJ46" s="167"/>
      <c r="AK46" s="183">
        <v>1224</v>
      </c>
      <c r="AL46" s="183">
        <v>-11883</v>
      </c>
      <c r="AM46" s="180">
        <v>-9584</v>
      </c>
      <c r="AN46" s="139">
        <v>103034</v>
      </c>
      <c r="AO46" s="138">
        <v>89509</v>
      </c>
      <c r="AP46" s="184">
        <v>3740</v>
      </c>
      <c r="AQ46" s="138">
        <v>9785</v>
      </c>
      <c r="AR46" s="109">
        <v>20</v>
      </c>
      <c r="AS46" s="144"/>
      <c r="AT46" s="139">
        <v>111</v>
      </c>
      <c r="AU46" s="228">
        <v>26508</v>
      </c>
      <c r="AV46" s="138"/>
      <c r="AW46" s="224">
        <v>1.1259100769665091</v>
      </c>
      <c r="AX46" s="225">
        <v>63.762550063093215</v>
      </c>
      <c r="AY46" s="139">
        <v>-3333.6728534781951</v>
      </c>
      <c r="AZ46" s="144"/>
      <c r="BA46"/>
      <c r="BC46" s="189">
        <v>54.556500143280161</v>
      </c>
      <c r="BD46" s="183">
        <v>613.36200392334399</v>
      </c>
      <c r="BE46" s="140">
        <v>25.683289622878313</v>
      </c>
      <c r="BF46" s="139">
        <v>8716.8401991851515</v>
      </c>
      <c r="BG46" s="184">
        <v>37857</v>
      </c>
      <c r="BH46" s="216">
        <v>20192</v>
      </c>
      <c r="BI46" s="216">
        <v>170102</v>
      </c>
      <c r="BJ46" s="216">
        <v>-149910</v>
      </c>
      <c r="BK46" s="216">
        <v>105975</v>
      </c>
      <c r="BL46" s="216">
        <v>56103</v>
      </c>
      <c r="BM46" s="151"/>
      <c r="BO46" s="216">
        <v>-291</v>
      </c>
      <c r="BP46" s="216">
        <v>1748</v>
      </c>
      <c r="BQ46" s="216">
        <v>13625</v>
      </c>
      <c r="BR46" s="216">
        <v>11611</v>
      </c>
      <c r="BS46" s="216">
        <v>7</v>
      </c>
      <c r="BT46" s="216">
        <v>0</v>
      </c>
      <c r="BU46" s="216">
        <v>2021</v>
      </c>
      <c r="BV46" s="184">
        <v>0</v>
      </c>
      <c r="BW46" s="184">
        <v>-2678</v>
      </c>
      <c r="BX46" s="183">
        <v>1301</v>
      </c>
      <c r="BY46" s="183">
        <v>644</v>
      </c>
      <c r="BZ46" s="183">
        <v>66544</v>
      </c>
      <c r="CA46" s="183">
        <v>13466</v>
      </c>
      <c r="CB46" s="167"/>
      <c r="CC46" s="183">
        <v>941</v>
      </c>
      <c r="CD46" s="183">
        <v>-30146</v>
      </c>
      <c r="CE46" s="180">
        <v>-15838</v>
      </c>
      <c r="CF46" s="139">
        <v>105975</v>
      </c>
      <c r="CG46" s="216">
        <v>90624</v>
      </c>
      <c r="CH46" s="216">
        <v>3372</v>
      </c>
      <c r="CI46" s="216">
        <v>11979</v>
      </c>
      <c r="CJ46" s="212">
        <v>20</v>
      </c>
      <c r="CK46" s="144"/>
      <c r="CL46" s="130">
        <v>27</v>
      </c>
      <c r="CM46" s="228">
        <v>26075</v>
      </c>
      <c r="CN46" s="138"/>
      <c r="CO46" s="142">
        <v>1.6586400499064256</v>
      </c>
      <c r="CP46" s="142">
        <v>66.59649158928535</v>
      </c>
      <c r="CQ46" s="183">
        <v>-3743.8159156279962</v>
      </c>
      <c r="CR46" s="144"/>
      <c r="CS46"/>
      <c r="CU46" s="232">
        <v>51.396987663465197</v>
      </c>
      <c r="CV46" s="143">
        <v>734.18983700862896</v>
      </c>
      <c r="CW46" s="146">
        <v>31.66721049960119</v>
      </c>
      <c r="CX46" s="143">
        <v>8462.3585810162986</v>
      </c>
      <c r="CY46" s="131">
        <v>35448</v>
      </c>
      <c r="CZ46" s="229">
        <v>19623</v>
      </c>
      <c r="DA46" s="229">
        <v>183132</v>
      </c>
      <c r="DB46" s="216">
        <v>-163509</v>
      </c>
      <c r="DC46" s="229">
        <v>105746</v>
      </c>
      <c r="DD46" s="229">
        <v>68907</v>
      </c>
      <c r="DE46" s="151"/>
      <c r="DG46" s="229">
        <v>-245</v>
      </c>
      <c r="DH46" s="229">
        <v>1876</v>
      </c>
      <c r="DI46" s="229">
        <v>12775</v>
      </c>
      <c r="DJ46" s="229">
        <v>8453</v>
      </c>
      <c r="DK46" s="229">
        <v>0</v>
      </c>
      <c r="DL46" s="229">
        <v>0</v>
      </c>
      <c r="DM46" s="229">
        <v>4322</v>
      </c>
      <c r="DN46" s="131">
        <v>0</v>
      </c>
      <c r="DO46" s="131">
        <v>0</v>
      </c>
      <c r="DP46" s="130">
        <v>91</v>
      </c>
      <c r="DQ46" s="130">
        <v>4413</v>
      </c>
      <c r="DR46" s="130">
        <v>70957</v>
      </c>
      <c r="DS46" s="130">
        <v>19249</v>
      </c>
      <c r="DT46" s="167"/>
      <c r="DU46" s="183">
        <v>-1024</v>
      </c>
      <c r="DV46" s="183">
        <v>-7496</v>
      </c>
      <c r="DW46" s="180">
        <v>-9660</v>
      </c>
      <c r="DX46" s="130">
        <v>105746</v>
      </c>
      <c r="DY46" s="229">
        <v>90701</v>
      </c>
      <c r="DZ46" s="229">
        <v>3804</v>
      </c>
      <c r="EA46" s="229">
        <v>11241</v>
      </c>
      <c r="EB46" s="212">
        <v>20</v>
      </c>
      <c r="EC46" s="208"/>
      <c r="ED46" s="183">
        <v>231.316176470588</v>
      </c>
      <c r="EE46" s="3">
        <v>115382</v>
      </c>
      <c r="EF46" s="183">
        <v>115371</v>
      </c>
      <c r="EG46" s="130">
        <v>123273</v>
      </c>
      <c r="EH46" s="130"/>
      <c r="EI46" s="130"/>
      <c r="EJ46" s="130">
        <v>1600</v>
      </c>
      <c r="EK46" s="183">
        <v>-23806</v>
      </c>
      <c r="EL46" s="183">
        <v>223</v>
      </c>
      <c r="EM46" s="183">
        <v>4169</v>
      </c>
      <c r="EN46" s="226">
        <v>-30000</v>
      </c>
      <c r="EO46" s="226">
        <v>256</v>
      </c>
      <c r="EP46" s="226">
        <v>440</v>
      </c>
      <c r="EQ46" s="226">
        <v>-29494</v>
      </c>
      <c r="ER46" s="230">
        <v>444</v>
      </c>
      <c r="ES46" s="230">
        <v>141</v>
      </c>
      <c r="ET46" s="3">
        <v>13844</v>
      </c>
      <c r="EU46" s="211">
        <v>0</v>
      </c>
      <c r="EV46" s="183">
        <v>49156</v>
      </c>
      <c r="EW46" s="183">
        <v>8300</v>
      </c>
      <c r="EX46" s="130">
        <v>27000</v>
      </c>
      <c r="EY46" s="183">
        <v>-8300</v>
      </c>
      <c r="EZ46" s="3">
        <v>63108</v>
      </c>
      <c r="FA46" s="3">
        <v>52462</v>
      </c>
      <c r="FB46" s="3">
        <v>10646</v>
      </c>
      <c r="FC46" s="3">
        <v>0</v>
      </c>
      <c r="FD46" s="226">
        <v>90418</v>
      </c>
      <c r="FE46" s="183">
        <v>75378</v>
      </c>
      <c r="FF46" s="183">
        <v>15040</v>
      </c>
      <c r="FG46" s="183">
        <v>0</v>
      </c>
      <c r="FH46" s="230">
        <v>101622</v>
      </c>
      <c r="FI46" s="130">
        <v>91299</v>
      </c>
      <c r="FJ46" s="130">
        <v>10323</v>
      </c>
      <c r="FK46" s="130">
        <v>0</v>
      </c>
      <c r="FL46" s="29">
        <v>8160.3297192930349</v>
      </c>
      <c r="FM46" s="139">
        <v>8994.0395352346459</v>
      </c>
      <c r="FN46" s="139">
        <v>9461.2080536912745</v>
      </c>
      <c r="FO46" s="172">
        <f t="shared" si="0"/>
        <v>4535.05</v>
      </c>
      <c r="FP46" s="170">
        <f t="shared" si="1"/>
        <v>173.92329817833175</v>
      </c>
      <c r="FR46" s="175"/>
      <c r="FS46" s="195"/>
      <c r="FV46" s="175">
        <v>11458</v>
      </c>
      <c r="FW46" s="2">
        <f t="shared" si="2"/>
        <v>-11458</v>
      </c>
      <c r="FZ46" s="186"/>
      <c r="GA46" s="2"/>
      <c r="GB46" s="2"/>
    </row>
    <row r="47" spans="1:184" ht="13" x14ac:dyDescent="0.3">
      <c r="A47" s="77">
        <v>148</v>
      </c>
      <c r="B47" s="75" t="s">
        <v>45</v>
      </c>
      <c r="C47" s="179">
        <v>6930</v>
      </c>
      <c r="D47" s="138"/>
      <c r="E47" s="142">
        <v>1.806088992974239</v>
      </c>
      <c r="F47" s="142">
        <v>33.87436377803936</v>
      </c>
      <c r="G47" s="183">
        <v>-1128.2828282828284</v>
      </c>
      <c r="H47" s="144"/>
      <c r="I47" s="186"/>
      <c r="K47" s="210">
        <v>71.906304031616216</v>
      </c>
      <c r="L47" s="143">
        <v>1387.5901875901875</v>
      </c>
      <c r="M47" s="146">
        <v>56.198802318506424</v>
      </c>
      <c r="N47" s="143">
        <v>9012.121212121212</v>
      </c>
      <c r="O47" s="138">
        <v>25667</v>
      </c>
      <c r="P47" s="143">
        <v>8901</v>
      </c>
      <c r="Q47" s="184">
        <v>57447</v>
      </c>
      <c r="R47" s="184">
        <v>-48546</v>
      </c>
      <c r="S47" s="139">
        <v>27992</v>
      </c>
      <c r="T47" s="138">
        <v>23428</v>
      </c>
      <c r="U47" s="151"/>
      <c r="W47" s="183">
        <v>-137</v>
      </c>
      <c r="X47" s="183">
        <v>860</v>
      </c>
      <c r="Y47" s="184">
        <v>3597</v>
      </c>
      <c r="Z47" s="130">
        <v>1967</v>
      </c>
      <c r="AA47" s="130">
        <v>0</v>
      </c>
      <c r="AB47" s="130">
        <v>0</v>
      </c>
      <c r="AC47" s="184">
        <v>1630</v>
      </c>
      <c r="AD47" s="183">
        <v>0</v>
      </c>
      <c r="AE47" s="184">
        <v>0</v>
      </c>
      <c r="AF47" s="184">
        <v>23</v>
      </c>
      <c r="AG47" s="183">
        <v>1653</v>
      </c>
      <c r="AH47" s="183">
        <v>10966</v>
      </c>
      <c r="AI47" s="183">
        <v>3558</v>
      </c>
      <c r="AJ47" s="167"/>
      <c r="AK47" s="183">
        <v>1412</v>
      </c>
      <c r="AL47" s="183">
        <v>-1876</v>
      </c>
      <c r="AM47" s="180">
        <v>1652</v>
      </c>
      <c r="AN47" s="139">
        <v>27992</v>
      </c>
      <c r="AO47" s="138">
        <v>21115</v>
      </c>
      <c r="AP47" s="184">
        <v>2487</v>
      </c>
      <c r="AQ47" s="138">
        <v>4390</v>
      </c>
      <c r="AR47" s="109">
        <v>19</v>
      </c>
      <c r="AS47" s="144"/>
      <c r="AT47" s="139">
        <v>40</v>
      </c>
      <c r="AU47" s="228">
        <v>6907</v>
      </c>
      <c r="AV47" s="138"/>
      <c r="AW47" s="224">
        <v>1.1388602224515538</v>
      </c>
      <c r="AX47" s="225">
        <v>33.396024086447248</v>
      </c>
      <c r="AY47" s="139">
        <v>-1578.2539452729116</v>
      </c>
      <c r="AZ47" s="144"/>
      <c r="BA47"/>
      <c r="BC47" s="189">
        <v>72.202269985744053</v>
      </c>
      <c r="BD47" s="183">
        <v>925.2931808310409</v>
      </c>
      <c r="BE47" s="140">
        <v>34.819240241809091</v>
      </c>
      <c r="BF47" s="139">
        <v>9699.5801360938185</v>
      </c>
      <c r="BG47" s="184">
        <v>26306</v>
      </c>
      <c r="BH47" s="216">
        <v>9595</v>
      </c>
      <c r="BI47" s="216">
        <v>59133</v>
      </c>
      <c r="BJ47" s="216">
        <v>-49538</v>
      </c>
      <c r="BK47" s="216">
        <v>27653</v>
      </c>
      <c r="BL47" s="216">
        <v>23367</v>
      </c>
      <c r="BM47" s="151"/>
      <c r="BO47" s="216">
        <v>-31</v>
      </c>
      <c r="BP47" s="216">
        <v>877</v>
      </c>
      <c r="BQ47" s="216">
        <v>2328</v>
      </c>
      <c r="BR47" s="216">
        <v>2056</v>
      </c>
      <c r="BS47" s="216">
        <v>0</v>
      </c>
      <c r="BT47" s="216">
        <v>0</v>
      </c>
      <c r="BU47" s="216">
        <v>272</v>
      </c>
      <c r="BV47" s="183">
        <v>0</v>
      </c>
      <c r="BW47" s="184">
        <v>0</v>
      </c>
      <c r="BX47" s="184">
        <v>7</v>
      </c>
      <c r="BY47" s="183">
        <v>279</v>
      </c>
      <c r="BZ47" s="183">
        <v>11245</v>
      </c>
      <c r="CA47" s="183">
        <v>1879</v>
      </c>
      <c r="CB47" s="167"/>
      <c r="CC47" s="183">
        <v>-370</v>
      </c>
      <c r="CD47" s="183">
        <v>-1838</v>
      </c>
      <c r="CE47" s="180">
        <v>-1931</v>
      </c>
      <c r="CF47" s="139">
        <v>27653</v>
      </c>
      <c r="CG47" s="216">
        <v>20440</v>
      </c>
      <c r="CH47" s="216">
        <v>2705</v>
      </c>
      <c r="CI47" s="216">
        <v>4508</v>
      </c>
      <c r="CJ47" s="212">
        <v>19</v>
      </c>
      <c r="CK47" s="144"/>
      <c r="CL47" s="130">
        <v>77</v>
      </c>
      <c r="CM47" s="228">
        <v>6862</v>
      </c>
      <c r="CN47" s="138"/>
      <c r="CO47" s="142">
        <v>1.6378535553793285</v>
      </c>
      <c r="CP47" s="142">
        <v>30.469312972417704</v>
      </c>
      <c r="CQ47" s="183">
        <v>-1196.4441853686972</v>
      </c>
      <c r="CR47" s="144"/>
      <c r="CS47"/>
      <c r="CU47" s="232">
        <v>73.816727617143314</v>
      </c>
      <c r="CV47" s="143">
        <v>1172.8359078985718</v>
      </c>
      <c r="CW47" s="146">
        <v>43.344153927875816</v>
      </c>
      <c r="CX47" s="143">
        <v>9876.4208685514423</v>
      </c>
      <c r="CY47" s="131">
        <v>27188</v>
      </c>
      <c r="CZ47" s="229">
        <v>9849</v>
      </c>
      <c r="DA47" s="229">
        <v>60049</v>
      </c>
      <c r="DB47" s="216">
        <v>-50200</v>
      </c>
      <c r="DC47" s="229">
        <v>28245</v>
      </c>
      <c r="DD47" s="229">
        <v>27129</v>
      </c>
      <c r="DE47" s="151"/>
      <c r="DG47" s="229">
        <v>-15</v>
      </c>
      <c r="DH47" s="229">
        <v>899</v>
      </c>
      <c r="DI47" s="229">
        <v>6058</v>
      </c>
      <c r="DJ47" s="229">
        <v>2617</v>
      </c>
      <c r="DK47" s="229">
        <v>0</v>
      </c>
      <c r="DL47" s="229">
        <v>0</v>
      </c>
      <c r="DM47" s="229">
        <v>3441</v>
      </c>
      <c r="DN47" s="130">
        <v>0</v>
      </c>
      <c r="DO47" s="131">
        <v>0</v>
      </c>
      <c r="DP47" s="131">
        <v>-66</v>
      </c>
      <c r="DQ47" s="130">
        <v>3375</v>
      </c>
      <c r="DR47" s="130">
        <v>14620</v>
      </c>
      <c r="DS47" s="130">
        <v>5231</v>
      </c>
      <c r="DT47" s="167"/>
      <c r="DU47" s="183">
        <v>-2112</v>
      </c>
      <c r="DV47" s="183">
        <v>-3645</v>
      </c>
      <c r="DW47" s="180">
        <v>2908</v>
      </c>
      <c r="DX47" s="130">
        <v>28245</v>
      </c>
      <c r="DY47" s="229">
        <v>20976</v>
      </c>
      <c r="DZ47" s="229">
        <v>3041</v>
      </c>
      <c r="EA47" s="229">
        <v>4228</v>
      </c>
      <c r="EB47" s="212">
        <v>19</v>
      </c>
      <c r="EC47" s="208"/>
      <c r="ED47" s="183">
        <v>63.088235294117702</v>
      </c>
      <c r="EE47" s="3">
        <v>23649</v>
      </c>
      <c r="EF47" s="183">
        <v>24454</v>
      </c>
      <c r="EG47" s="130">
        <v>24586</v>
      </c>
      <c r="EH47" s="130"/>
      <c r="EI47" s="130"/>
      <c r="EJ47" s="130"/>
      <c r="EK47" s="183">
        <v>-2641</v>
      </c>
      <c r="EL47" s="183">
        <v>428</v>
      </c>
      <c r="EM47" s="183">
        <v>307</v>
      </c>
      <c r="EN47" s="226">
        <v>-4636</v>
      </c>
      <c r="EO47" s="226">
        <v>49</v>
      </c>
      <c r="EP47" s="226">
        <v>777</v>
      </c>
      <c r="EQ47" s="226">
        <v>-3635</v>
      </c>
      <c r="ER47" s="230">
        <v>272</v>
      </c>
      <c r="ES47" s="230">
        <v>1040</v>
      </c>
      <c r="ET47" s="3">
        <v>1163</v>
      </c>
      <c r="EU47" s="211">
        <v>0</v>
      </c>
      <c r="EV47" s="183">
        <v>2000</v>
      </c>
      <c r="EW47" s="183">
        <v>0</v>
      </c>
      <c r="EX47" s="130">
        <v>2500</v>
      </c>
      <c r="EY47" s="183">
        <v>0</v>
      </c>
      <c r="EZ47" s="3">
        <v>13119</v>
      </c>
      <c r="FA47" s="3">
        <v>11491</v>
      </c>
      <c r="FB47" s="3">
        <v>1628</v>
      </c>
      <c r="FC47" s="3">
        <v>5675</v>
      </c>
      <c r="FD47" s="226">
        <v>13280</v>
      </c>
      <c r="FE47" s="183">
        <v>9943</v>
      </c>
      <c r="FF47" s="183">
        <v>3337</v>
      </c>
      <c r="FG47" s="183">
        <v>6826</v>
      </c>
      <c r="FH47" s="230">
        <v>12136</v>
      </c>
      <c r="FI47" s="130">
        <v>10710</v>
      </c>
      <c r="FJ47" s="130">
        <v>1426</v>
      </c>
      <c r="FK47" s="130">
        <v>7042</v>
      </c>
      <c r="FL47" s="29">
        <v>6018.4704184704178</v>
      </c>
      <c r="FM47" s="139">
        <v>6604.6040249022735</v>
      </c>
      <c r="FN47" s="139">
        <v>6662.7805304575922</v>
      </c>
      <c r="FO47" s="172">
        <f t="shared" si="0"/>
        <v>1104</v>
      </c>
      <c r="FP47" s="170">
        <f t="shared" si="1"/>
        <v>160.8860390556689</v>
      </c>
      <c r="FR47" s="175"/>
      <c r="FS47" s="195"/>
      <c r="FV47" s="175">
        <v>1630</v>
      </c>
      <c r="FW47" s="2">
        <f t="shared" si="2"/>
        <v>-1630</v>
      </c>
      <c r="FZ47" s="186"/>
      <c r="GA47" s="2"/>
      <c r="GB47" s="2"/>
    </row>
    <row r="48" spans="1:184" ht="13" x14ac:dyDescent="0.3">
      <c r="A48" s="77">
        <v>149</v>
      </c>
      <c r="B48" s="75" t="s">
        <v>46</v>
      </c>
      <c r="C48" s="179">
        <v>5403</v>
      </c>
      <c r="D48" s="138"/>
      <c r="E48" s="142">
        <v>1.1626506024096386</v>
      </c>
      <c r="F48" s="142">
        <v>53.543718487943778</v>
      </c>
      <c r="G48" s="183">
        <v>-2817.6938737738296</v>
      </c>
      <c r="H48" s="144"/>
      <c r="I48" s="186"/>
      <c r="K48" s="210">
        <v>43.809627948935237</v>
      </c>
      <c r="L48" s="143">
        <v>749.95372940958725</v>
      </c>
      <c r="M48" s="146">
        <v>37.059737396010824</v>
      </c>
      <c r="N48" s="143">
        <v>7386.2668887655</v>
      </c>
      <c r="O48" s="138">
        <v>11977</v>
      </c>
      <c r="P48" s="143">
        <v>5358</v>
      </c>
      <c r="Q48" s="184">
        <v>35441</v>
      </c>
      <c r="R48" s="184">
        <v>-30083</v>
      </c>
      <c r="S48" s="139">
        <v>25975</v>
      </c>
      <c r="T48" s="138">
        <v>6946</v>
      </c>
      <c r="U48" s="151"/>
      <c r="W48" s="183">
        <v>-122</v>
      </c>
      <c r="X48" s="183">
        <v>57</v>
      </c>
      <c r="Y48" s="184">
        <v>2773</v>
      </c>
      <c r="Z48" s="130">
        <v>1953</v>
      </c>
      <c r="AA48" s="131">
        <v>0</v>
      </c>
      <c r="AB48" s="131">
        <v>0</v>
      </c>
      <c r="AC48" s="184">
        <v>820</v>
      </c>
      <c r="AD48" s="183">
        <v>0</v>
      </c>
      <c r="AE48" s="183">
        <v>-15</v>
      </c>
      <c r="AF48" s="183">
        <v>0</v>
      </c>
      <c r="AG48" s="183">
        <v>805</v>
      </c>
      <c r="AH48" s="183">
        <v>8185</v>
      </c>
      <c r="AI48" s="183">
        <v>2773</v>
      </c>
      <c r="AJ48" s="167"/>
      <c r="AK48" s="183">
        <v>213</v>
      </c>
      <c r="AL48" s="183">
        <v>-2368</v>
      </c>
      <c r="AM48" s="180">
        <v>811</v>
      </c>
      <c r="AN48" s="139">
        <v>25975</v>
      </c>
      <c r="AO48" s="138">
        <v>21994</v>
      </c>
      <c r="AP48" s="184">
        <v>1042</v>
      </c>
      <c r="AQ48" s="138">
        <v>2939</v>
      </c>
      <c r="AR48" s="109">
        <v>20.75</v>
      </c>
      <c r="AS48" s="144"/>
      <c r="AT48" s="139">
        <v>43</v>
      </c>
      <c r="AU48" s="228">
        <v>5386</v>
      </c>
      <c r="AV48" s="138"/>
      <c r="AW48" s="224">
        <v>0.31337031586097591</v>
      </c>
      <c r="AX48" s="225">
        <v>51.435091958652166</v>
      </c>
      <c r="AY48" s="139">
        <v>-3095.6182695878201</v>
      </c>
      <c r="AZ48" s="144"/>
      <c r="BA48"/>
      <c r="BC48" s="189">
        <v>43.901015524687757</v>
      </c>
      <c r="BD48" s="183">
        <v>302.6364649090234</v>
      </c>
      <c r="BE48" s="140">
        <v>14.479544403611673</v>
      </c>
      <c r="BF48" s="139">
        <v>7628.8525807649457</v>
      </c>
      <c r="BG48" s="184">
        <v>12535</v>
      </c>
      <c r="BH48" s="216">
        <v>4425</v>
      </c>
      <c r="BI48" s="216">
        <v>36613</v>
      </c>
      <c r="BJ48" s="216">
        <v>-32188</v>
      </c>
      <c r="BK48" s="216">
        <v>25953</v>
      </c>
      <c r="BL48" s="216">
        <v>6867</v>
      </c>
      <c r="BM48" s="151"/>
      <c r="BO48" s="216">
        <v>-111</v>
      </c>
      <c r="BP48" s="216">
        <v>60</v>
      </c>
      <c r="BQ48" s="216">
        <v>581</v>
      </c>
      <c r="BR48" s="216">
        <v>1563</v>
      </c>
      <c r="BS48" s="216">
        <v>0</v>
      </c>
      <c r="BT48" s="216">
        <v>0</v>
      </c>
      <c r="BU48" s="216">
        <v>-982</v>
      </c>
      <c r="BV48" s="183">
        <v>0</v>
      </c>
      <c r="BW48" s="183">
        <v>-15</v>
      </c>
      <c r="BX48" s="183">
        <v>0</v>
      </c>
      <c r="BY48" s="183">
        <v>-997</v>
      </c>
      <c r="BZ48" s="183">
        <v>7188</v>
      </c>
      <c r="CA48" s="183">
        <v>501</v>
      </c>
      <c r="CB48" s="167"/>
      <c r="CC48" s="183">
        <v>367</v>
      </c>
      <c r="CD48" s="183">
        <v>-2311</v>
      </c>
      <c r="CE48" s="180">
        <v>-1307</v>
      </c>
      <c r="CF48" s="139">
        <v>25953</v>
      </c>
      <c r="CG48" s="216">
        <v>21925</v>
      </c>
      <c r="CH48" s="216">
        <v>1129</v>
      </c>
      <c r="CI48" s="216">
        <v>2899</v>
      </c>
      <c r="CJ48" s="212">
        <v>20.75</v>
      </c>
      <c r="CK48" s="144"/>
      <c r="CL48" s="130">
        <v>177</v>
      </c>
      <c r="CM48" s="228">
        <v>5321</v>
      </c>
      <c r="CN48" s="138"/>
      <c r="CO48" s="142">
        <v>2.3777777777777778</v>
      </c>
      <c r="CP48" s="142">
        <v>42.459300480827906</v>
      </c>
      <c r="CQ48" s="183">
        <v>-2597.0682202593498</v>
      </c>
      <c r="CR48" s="144"/>
      <c r="CS48"/>
      <c r="CU48" s="232">
        <v>51.810271472097938</v>
      </c>
      <c r="CV48" s="143">
        <v>153.73050178537869</v>
      </c>
      <c r="CW48" s="146">
        <v>7.2027887677313522</v>
      </c>
      <c r="CX48" s="143">
        <v>7790.2649877842514</v>
      </c>
      <c r="CY48" s="131">
        <v>12692</v>
      </c>
      <c r="CZ48" s="229">
        <v>5024</v>
      </c>
      <c r="DA48" s="229">
        <v>35889</v>
      </c>
      <c r="DB48" s="216">
        <v>-30865</v>
      </c>
      <c r="DC48" s="229">
        <v>26759</v>
      </c>
      <c r="DD48" s="229">
        <v>9188</v>
      </c>
      <c r="DE48" s="151"/>
      <c r="DG48" s="229">
        <v>-93</v>
      </c>
      <c r="DH48" s="229">
        <v>54</v>
      </c>
      <c r="DI48" s="229">
        <v>5043</v>
      </c>
      <c r="DJ48" s="229">
        <v>1635</v>
      </c>
      <c r="DK48" s="229">
        <v>0</v>
      </c>
      <c r="DL48" s="229">
        <v>0</v>
      </c>
      <c r="DM48" s="229">
        <v>3408</v>
      </c>
      <c r="DN48" s="130">
        <v>-45</v>
      </c>
      <c r="DO48" s="130">
        <v>-3170</v>
      </c>
      <c r="DP48" s="130">
        <v>0</v>
      </c>
      <c r="DQ48" s="130">
        <v>193</v>
      </c>
      <c r="DR48" s="130">
        <v>7804</v>
      </c>
      <c r="DS48" s="130">
        <v>4647</v>
      </c>
      <c r="DT48" s="167"/>
      <c r="DU48" s="183">
        <v>-1761</v>
      </c>
      <c r="DV48" s="183">
        <v>-2067</v>
      </c>
      <c r="DW48" s="180">
        <v>2406</v>
      </c>
      <c r="DX48" s="130">
        <v>26759</v>
      </c>
      <c r="DY48" s="229">
        <v>22802</v>
      </c>
      <c r="DZ48" s="229">
        <v>1306</v>
      </c>
      <c r="EA48" s="229">
        <v>2651</v>
      </c>
      <c r="EB48" s="212">
        <v>20.75</v>
      </c>
      <c r="EC48" s="208"/>
      <c r="ED48" s="183">
        <v>47.977941176470601</v>
      </c>
      <c r="EE48" s="3">
        <v>20582</v>
      </c>
      <c r="EF48" s="183">
        <v>21357</v>
      </c>
      <c r="EG48" s="130">
        <v>20388</v>
      </c>
      <c r="EH48" s="130"/>
      <c r="EI48" s="130"/>
      <c r="EJ48" s="130"/>
      <c r="EK48" s="183">
        <v>-1976</v>
      </c>
      <c r="EL48" s="183">
        <v>14</v>
      </c>
      <c r="EM48" s="183">
        <v>0</v>
      </c>
      <c r="EN48" s="226">
        <v>-1903</v>
      </c>
      <c r="EO48" s="226">
        <v>10</v>
      </c>
      <c r="EP48" s="226">
        <v>85</v>
      </c>
      <c r="EQ48" s="226">
        <v>-3379</v>
      </c>
      <c r="ER48" s="230">
        <v>11</v>
      </c>
      <c r="ES48" s="230">
        <v>1127</v>
      </c>
      <c r="ET48" s="3">
        <v>3900</v>
      </c>
      <c r="EU48" s="211">
        <v>0</v>
      </c>
      <c r="EV48" s="183">
        <v>0</v>
      </c>
      <c r="EW48" s="183">
        <v>1000</v>
      </c>
      <c r="EX48" s="130">
        <v>0</v>
      </c>
      <c r="EY48" s="183">
        <v>0</v>
      </c>
      <c r="EZ48" s="3">
        <v>16676</v>
      </c>
      <c r="FA48" s="3">
        <v>14368</v>
      </c>
      <c r="FB48" s="3">
        <v>2308</v>
      </c>
      <c r="FC48" s="3">
        <v>0</v>
      </c>
      <c r="FD48" s="226">
        <v>15365</v>
      </c>
      <c r="FE48" s="183">
        <v>12158</v>
      </c>
      <c r="FF48" s="183">
        <v>3207</v>
      </c>
      <c r="FG48" s="183">
        <v>134</v>
      </c>
      <c r="FH48" s="230">
        <v>13297</v>
      </c>
      <c r="FI48" s="130">
        <v>10130</v>
      </c>
      <c r="FJ48" s="130">
        <v>3167</v>
      </c>
      <c r="FK48" s="130">
        <v>130</v>
      </c>
      <c r="FL48" s="29">
        <v>3387.7475476587083</v>
      </c>
      <c r="FM48" s="139">
        <v>3340.3267731154847</v>
      </c>
      <c r="FN48" s="139">
        <v>3121.4057507987222</v>
      </c>
      <c r="FO48" s="172">
        <f t="shared" si="0"/>
        <v>1098.8915662650602</v>
      </c>
      <c r="FP48" s="170">
        <f t="shared" si="1"/>
        <v>206.51974558636726</v>
      </c>
      <c r="FR48" s="175"/>
      <c r="FS48" s="195"/>
      <c r="FV48" s="175">
        <v>2239</v>
      </c>
      <c r="FW48" s="2">
        <f t="shared" si="2"/>
        <v>-2239</v>
      </c>
      <c r="FZ48" s="186"/>
      <c r="GA48" s="2"/>
      <c r="GB48" s="2"/>
    </row>
    <row r="49" spans="1:184" ht="13" x14ac:dyDescent="0.3">
      <c r="A49" s="77">
        <v>151</v>
      </c>
      <c r="B49" s="75" t="s">
        <v>47</v>
      </c>
      <c r="C49" s="179">
        <v>1976</v>
      </c>
      <c r="D49" s="138"/>
      <c r="E49" s="142">
        <v>0.22058823529411764</v>
      </c>
      <c r="F49" s="142">
        <v>20.960150611860684</v>
      </c>
      <c r="G49" s="183">
        <v>-317.30769230769226</v>
      </c>
      <c r="H49" s="144"/>
      <c r="I49" s="186"/>
      <c r="K49" s="210">
        <v>74.996729033102184</v>
      </c>
      <c r="L49" s="143">
        <v>1176.1133603238866</v>
      </c>
      <c r="M49" s="146">
        <v>50.51271363067945</v>
      </c>
      <c r="N49" s="143">
        <v>8498.4817813765185</v>
      </c>
      <c r="O49" s="138">
        <v>3114</v>
      </c>
      <c r="P49" s="143">
        <v>1856</v>
      </c>
      <c r="Q49" s="184">
        <v>15828</v>
      </c>
      <c r="R49" s="184">
        <v>-13972</v>
      </c>
      <c r="S49" s="139">
        <v>6172</v>
      </c>
      <c r="T49" s="138">
        <v>7907</v>
      </c>
      <c r="U49" s="151"/>
      <c r="W49" s="183">
        <v>-19</v>
      </c>
      <c r="X49" s="183">
        <v>13</v>
      </c>
      <c r="Y49" s="184">
        <v>101</v>
      </c>
      <c r="Z49" s="130">
        <v>494</v>
      </c>
      <c r="AA49" s="130">
        <v>0</v>
      </c>
      <c r="AB49" s="130">
        <v>0</v>
      </c>
      <c r="AC49" s="184">
        <v>-393</v>
      </c>
      <c r="AD49" s="184">
        <v>2</v>
      </c>
      <c r="AE49" s="184">
        <v>0</v>
      </c>
      <c r="AF49" s="183">
        <v>0</v>
      </c>
      <c r="AG49" s="183">
        <v>-391</v>
      </c>
      <c r="AH49" s="183">
        <v>2005</v>
      </c>
      <c r="AI49" s="183">
        <v>141</v>
      </c>
      <c r="AJ49" s="167"/>
      <c r="AK49" s="183">
        <v>-116</v>
      </c>
      <c r="AL49" s="183">
        <v>-525</v>
      </c>
      <c r="AM49" s="180">
        <v>45</v>
      </c>
      <c r="AN49" s="139">
        <v>6172</v>
      </c>
      <c r="AO49" s="138">
        <v>5099</v>
      </c>
      <c r="AP49" s="184">
        <v>619</v>
      </c>
      <c r="AQ49" s="138">
        <v>454</v>
      </c>
      <c r="AR49" s="109">
        <v>22</v>
      </c>
      <c r="AS49" s="144"/>
      <c r="AT49" s="139">
        <v>231</v>
      </c>
      <c r="AU49" s="228">
        <v>1951</v>
      </c>
      <c r="AV49" s="138"/>
      <c r="AW49" s="224">
        <v>0.31021111589831968</v>
      </c>
      <c r="AX49" s="225">
        <v>17.223176238631304</v>
      </c>
      <c r="AY49" s="139">
        <v>-413.1214761660687</v>
      </c>
      <c r="AZ49" s="144"/>
      <c r="BA49"/>
      <c r="BC49" s="189">
        <v>77.699613084769609</v>
      </c>
      <c r="BD49" s="183">
        <v>790.87647360328037</v>
      </c>
      <c r="BE49" s="140">
        <v>34.651756598781766</v>
      </c>
      <c r="BF49" s="139">
        <v>8330.5996924654028</v>
      </c>
      <c r="BG49" s="184">
        <v>3108</v>
      </c>
      <c r="BH49" s="216">
        <v>1792</v>
      </c>
      <c r="BI49" s="216">
        <v>15649</v>
      </c>
      <c r="BJ49" s="216">
        <v>-13857</v>
      </c>
      <c r="BK49" s="216">
        <v>6099</v>
      </c>
      <c r="BL49" s="216">
        <v>7832</v>
      </c>
      <c r="BM49" s="151"/>
      <c r="BO49" s="216">
        <v>-16</v>
      </c>
      <c r="BP49" s="216">
        <v>16</v>
      </c>
      <c r="BQ49" s="216">
        <v>74</v>
      </c>
      <c r="BR49" s="216">
        <v>493</v>
      </c>
      <c r="BS49" s="216">
        <v>0</v>
      </c>
      <c r="BT49" s="216">
        <v>0</v>
      </c>
      <c r="BU49" s="216">
        <v>-419</v>
      </c>
      <c r="BV49" s="184">
        <v>3</v>
      </c>
      <c r="BW49" s="184">
        <v>0</v>
      </c>
      <c r="BX49" s="183">
        <v>0</v>
      </c>
      <c r="BY49" s="183">
        <v>-416</v>
      </c>
      <c r="BZ49" s="183">
        <v>1589</v>
      </c>
      <c r="CA49" s="183">
        <v>82</v>
      </c>
      <c r="CB49" s="167"/>
      <c r="CC49" s="183">
        <v>29</v>
      </c>
      <c r="CD49" s="183">
        <v>-225</v>
      </c>
      <c r="CE49" s="180">
        <v>-201</v>
      </c>
      <c r="CF49" s="139">
        <v>6099</v>
      </c>
      <c r="CG49" s="216">
        <v>4983</v>
      </c>
      <c r="CH49" s="216">
        <v>659</v>
      </c>
      <c r="CI49" s="216">
        <v>457</v>
      </c>
      <c r="CJ49" s="212">
        <v>22</v>
      </c>
      <c r="CK49" s="144"/>
      <c r="CL49" s="130">
        <v>216</v>
      </c>
      <c r="CM49" s="228">
        <v>1925</v>
      </c>
      <c r="CN49" s="138"/>
      <c r="CO49" s="142">
        <v>7.5924369747899156</v>
      </c>
      <c r="CP49" s="142">
        <v>11.883421380661245</v>
      </c>
      <c r="CQ49" s="183">
        <v>303.89610389610391</v>
      </c>
      <c r="CR49" s="144"/>
      <c r="CS49"/>
      <c r="CU49" s="232">
        <v>83.539846976775678</v>
      </c>
      <c r="CV49" s="143">
        <v>1127.2727272727273</v>
      </c>
      <c r="CW49" s="146">
        <v>50.260168792436069</v>
      </c>
      <c r="CX49" s="143">
        <v>8186.4935064935062</v>
      </c>
      <c r="CY49" s="131">
        <v>2898</v>
      </c>
      <c r="CZ49" s="229">
        <v>1863</v>
      </c>
      <c r="DA49" s="229">
        <v>15054</v>
      </c>
      <c r="DB49" s="216">
        <v>-13191</v>
      </c>
      <c r="DC49" s="229">
        <v>6914</v>
      </c>
      <c r="DD49" s="229">
        <v>8070</v>
      </c>
      <c r="DE49" s="151"/>
      <c r="DG49" s="229">
        <v>-13</v>
      </c>
      <c r="DH49" s="229">
        <v>14</v>
      </c>
      <c r="DI49" s="229">
        <v>1794</v>
      </c>
      <c r="DJ49" s="229">
        <v>501</v>
      </c>
      <c r="DK49" s="229">
        <v>0</v>
      </c>
      <c r="DL49" s="229">
        <v>0</v>
      </c>
      <c r="DM49" s="229">
        <v>1293</v>
      </c>
      <c r="DN49" s="131">
        <v>3</v>
      </c>
      <c r="DO49" s="131">
        <v>0</v>
      </c>
      <c r="DP49" s="130">
        <v>0</v>
      </c>
      <c r="DQ49" s="130">
        <v>1296</v>
      </c>
      <c r="DR49" s="130">
        <v>2885</v>
      </c>
      <c r="DS49" s="130">
        <v>1780</v>
      </c>
      <c r="DT49" s="167"/>
      <c r="DU49" s="183">
        <v>-57</v>
      </c>
      <c r="DV49" s="183">
        <v>-225</v>
      </c>
      <c r="DW49" s="180">
        <v>1373</v>
      </c>
      <c r="DX49" s="130">
        <v>6914</v>
      </c>
      <c r="DY49" s="229">
        <v>5528</v>
      </c>
      <c r="DZ49" s="229">
        <v>805</v>
      </c>
      <c r="EA49" s="229">
        <v>581</v>
      </c>
      <c r="EB49" s="212">
        <v>22</v>
      </c>
      <c r="EC49" s="208"/>
      <c r="ED49" s="183">
        <v>54.022058823529399</v>
      </c>
      <c r="EE49" s="3">
        <v>11424</v>
      </c>
      <c r="EF49" s="183">
        <v>11351</v>
      </c>
      <c r="EG49" s="130">
        <v>11023</v>
      </c>
      <c r="EH49" s="130"/>
      <c r="EI49" s="130"/>
      <c r="EJ49" s="130"/>
      <c r="EK49" s="183">
        <v>-409</v>
      </c>
      <c r="EL49" s="183">
        <v>49</v>
      </c>
      <c r="EM49" s="183">
        <v>264</v>
      </c>
      <c r="EN49" s="226">
        <v>-352</v>
      </c>
      <c r="EO49" s="226">
        <v>22</v>
      </c>
      <c r="EP49" s="226">
        <v>47</v>
      </c>
      <c r="EQ49" s="226">
        <v>-456</v>
      </c>
      <c r="ER49" s="230">
        <v>35</v>
      </c>
      <c r="ES49" s="230">
        <v>14</v>
      </c>
      <c r="ET49" s="3">
        <v>0</v>
      </c>
      <c r="EU49" s="211">
        <v>0</v>
      </c>
      <c r="EV49" s="183">
        <v>0</v>
      </c>
      <c r="EW49" s="183">
        <v>0</v>
      </c>
      <c r="EX49" s="130">
        <v>0</v>
      </c>
      <c r="EY49" s="183">
        <v>0</v>
      </c>
      <c r="EZ49" s="3">
        <v>1062</v>
      </c>
      <c r="FA49" s="3">
        <v>837</v>
      </c>
      <c r="FB49" s="3">
        <v>225</v>
      </c>
      <c r="FC49" s="3">
        <v>130</v>
      </c>
      <c r="FD49" s="226">
        <v>837</v>
      </c>
      <c r="FE49" s="183">
        <v>612</v>
      </c>
      <c r="FF49" s="183">
        <v>225</v>
      </c>
      <c r="FG49" s="183">
        <v>108</v>
      </c>
      <c r="FH49" s="230">
        <v>612</v>
      </c>
      <c r="FI49" s="130">
        <v>387</v>
      </c>
      <c r="FJ49" s="130">
        <v>225</v>
      </c>
      <c r="FK49" s="130">
        <v>90</v>
      </c>
      <c r="FL49" s="29">
        <v>1946.8623481781378</v>
      </c>
      <c r="FM49" s="139">
        <v>2182.4705279343925</v>
      </c>
      <c r="FN49" s="139">
        <v>2203.1168831168834</v>
      </c>
      <c r="FO49" s="172">
        <f t="shared" si="0"/>
        <v>251.27272727272728</v>
      </c>
      <c r="FP49" s="170">
        <f t="shared" si="1"/>
        <v>130.53128689492328</v>
      </c>
      <c r="FR49" s="175"/>
      <c r="FS49" s="195"/>
      <c r="FV49" s="175">
        <v>172</v>
      </c>
      <c r="FW49" s="2">
        <f t="shared" si="2"/>
        <v>-172</v>
      </c>
      <c r="FZ49" s="186"/>
      <c r="GA49" s="2"/>
      <c r="GB49" s="2"/>
    </row>
    <row r="50" spans="1:184" ht="13" x14ac:dyDescent="0.3">
      <c r="A50" s="77">
        <v>152</v>
      </c>
      <c r="B50" s="75" t="s">
        <v>48</v>
      </c>
      <c r="C50" s="179">
        <v>4601</v>
      </c>
      <c r="D50" s="138"/>
      <c r="E50" s="142">
        <v>4.457597173144876</v>
      </c>
      <c r="F50" s="142">
        <v>21.407147415443522</v>
      </c>
      <c r="G50" s="183">
        <v>-352.96674635948705</v>
      </c>
      <c r="H50" s="144"/>
      <c r="I50" s="186"/>
      <c r="K50" s="210">
        <v>77.018293725423149</v>
      </c>
      <c r="L50" s="143">
        <v>809.38926320365135</v>
      </c>
      <c r="M50" s="146">
        <v>43.556253404684846</v>
      </c>
      <c r="N50" s="143">
        <v>6782.6559443599217</v>
      </c>
      <c r="O50" s="138">
        <v>11601</v>
      </c>
      <c r="P50" s="143">
        <v>3771</v>
      </c>
      <c r="Q50" s="184">
        <v>28880</v>
      </c>
      <c r="R50" s="184">
        <v>-25109</v>
      </c>
      <c r="S50" s="139">
        <v>14644</v>
      </c>
      <c r="T50" s="138">
        <v>12925</v>
      </c>
      <c r="U50" s="151"/>
      <c r="W50" s="183">
        <v>-9</v>
      </c>
      <c r="X50" s="183">
        <v>56</v>
      </c>
      <c r="Y50" s="184">
        <v>2507</v>
      </c>
      <c r="Z50" s="130">
        <v>1145</v>
      </c>
      <c r="AA50" s="130">
        <v>0</v>
      </c>
      <c r="AB50" s="130">
        <v>0</v>
      </c>
      <c r="AC50" s="184">
        <v>1362</v>
      </c>
      <c r="AD50" s="184">
        <v>0</v>
      </c>
      <c r="AE50" s="183">
        <v>0</v>
      </c>
      <c r="AF50" s="183">
        <v>0</v>
      </c>
      <c r="AG50" s="183">
        <v>1362</v>
      </c>
      <c r="AH50" s="183">
        <v>11337</v>
      </c>
      <c r="AI50" s="183">
        <v>2485</v>
      </c>
      <c r="AJ50" s="167"/>
      <c r="AK50" s="183">
        <v>-110</v>
      </c>
      <c r="AL50" s="183">
        <v>-550</v>
      </c>
      <c r="AM50" s="180">
        <v>773</v>
      </c>
      <c r="AN50" s="139">
        <v>14644</v>
      </c>
      <c r="AO50" s="138">
        <v>13175</v>
      </c>
      <c r="AP50" s="184">
        <v>574</v>
      </c>
      <c r="AQ50" s="138">
        <v>895</v>
      </c>
      <c r="AR50" s="109">
        <v>21.5</v>
      </c>
      <c r="AS50" s="144"/>
      <c r="AT50" s="139">
        <v>32</v>
      </c>
      <c r="AU50" s="228">
        <v>4522</v>
      </c>
      <c r="AV50" s="138"/>
      <c r="AW50" s="224">
        <v>1.5492355745520303</v>
      </c>
      <c r="AX50" s="225">
        <v>29.116510041801554</v>
      </c>
      <c r="AY50" s="139">
        <v>-1199.9115435647943</v>
      </c>
      <c r="AZ50" s="144"/>
      <c r="BA50"/>
      <c r="BC50" s="189">
        <v>70.741324921135643</v>
      </c>
      <c r="BD50" s="183">
        <v>673.59575409111017</v>
      </c>
      <c r="BE50" s="140">
        <v>30.164143469531716</v>
      </c>
      <c r="BF50" s="139">
        <v>8150.8182220256522</v>
      </c>
      <c r="BG50" s="184">
        <v>11382</v>
      </c>
      <c r="BH50" s="216">
        <v>3445</v>
      </c>
      <c r="BI50" s="216">
        <v>30726</v>
      </c>
      <c r="BJ50" s="216">
        <v>-27281</v>
      </c>
      <c r="BK50" s="216">
        <v>15214</v>
      </c>
      <c r="BL50" s="216">
        <v>13158</v>
      </c>
      <c r="BM50" s="151"/>
      <c r="BO50" s="216">
        <v>-7</v>
      </c>
      <c r="BP50" s="216">
        <v>83</v>
      </c>
      <c r="BQ50" s="216">
        <v>1167</v>
      </c>
      <c r="BR50" s="216">
        <v>1265</v>
      </c>
      <c r="BS50" s="216">
        <v>0</v>
      </c>
      <c r="BT50" s="216">
        <v>0</v>
      </c>
      <c r="BU50" s="216">
        <v>-98</v>
      </c>
      <c r="BV50" s="184">
        <v>0</v>
      </c>
      <c r="BW50" s="183">
        <v>0</v>
      </c>
      <c r="BX50" s="183">
        <v>0</v>
      </c>
      <c r="BY50" s="183">
        <v>-98</v>
      </c>
      <c r="BZ50" s="183">
        <v>11238</v>
      </c>
      <c r="CA50" s="183">
        <v>1167</v>
      </c>
      <c r="CB50" s="167"/>
      <c r="CC50" s="183">
        <v>569</v>
      </c>
      <c r="CD50" s="183">
        <v>-450</v>
      </c>
      <c r="CE50" s="180">
        <v>-3730</v>
      </c>
      <c r="CF50" s="139">
        <v>15214</v>
      </c>
      <c r="CG50" s="216">
        <v>13658</v>
      </c>
      <c r="CH50" s="216">
        <v>627</v>
      </c>
      <c r="CI50" s="216">
        <v>929</v>
      </c>
      <c r="CJ50" s="212">
        <v>21.5</v>
      </c>
      <c r="CK50" s="144"/>
      <c r="CL50" s="130">
        <v>104</v>
      </c>
      <c r="CM50" s="228">
        <v>4471</v>
      </c>
      <c r="CN50" s="138"/>
      <c r="CO50" s="142">
        <v>4.0937950937950935</v>
      </c>
      <c r="CP50" s="142">
        <v>27.743475018642805</v>
      </c>
      <c r="CQ50" s="183">
        <v>-960.18787743234179</v>
      </c>
      <c r="CR50" s="144"/>
      <c r="CS50"/>
      <c r="CU50" s="232">
        <v>71.865277148467001</v>
      </c>
      <c r="CV50" s="143">
        <v>934.91388951017666</v>
      </c>
      <c r="CW50" s="146">
        <v>45.415848068107401</v>
      </c>
      <c r="CX50" s="143">
        <v>7513.7553120107359</v>
      </c>
      <c r="CY50" s="131">
        <v>11108</v>
      </c>
      <c r="CZ50" s="229">
        <v>3249</v>
      </c>
      <c r="DA50" s="229">
        <v>30765</v>
      </c>
      <c r="DB50" s="216">
        <v>-27516</v>
      </c>
      <c r="DC50" s="229">
        <v>15363</v>
      </c>
      <c r="DD50" s="229">
        <v>14913</v>
      </c>
      <c r="DE50" s="151"/>
      <c r="DG50" s="229">
        <v>-12</v>
      </c>
      <c r="DH50" s="229">
        <v>71</v>
      </c>
      <c r="DI50" s="229">
        <v>2819</v>
      </c>
      <c r="DJ50" s="229">
        <v>1453</v>
      </c>
      <c r="DK50" s="229">
        <v>0</v>
      </c>
      <c r="DL50" s="229">
        <v>0</v>
      </c>
      <c r="DM50" s="229">
        <v>1366</v>
      </c>
      <c r="DN50" s="131">
        <v>0</v>
      </c>
      <c r="DO50" s="130">
        <v>0</v>
      </c>
      <c r="DP50" s="130">
        <v>0</v>
      </c>
      <c r="DQ50" s="130">
        <v>1366</v>
      </c>
      <c r="DR50" s="130">
        <v>12604</v>
      </c>
      <c r="DS50" s="130">
        <v>2929</v>
      </c>
      <c r="DT50" s="167"/>
      <c r="DU50" s="183">
        <v>-37</v>
      </c>
      <c r="DV50" s="183">
        <v>-675</v>
      </c>
      <c r="DW50" s="180">
        <v>1121</v>
      </c>
      <c r="DX50" s="130">
        <v>15363</v>
      </c>
      <c r="DY50" s="229">
        <v>13852</v>
      </c>
      <c r="DZ50" s="229">
        <v>676</v>
      </c>
      <c r="EA50" s="229">
        <v>835</v>
      </c>
      <c r="EB50" s="212">
        <v>21.5</v>
      </c>
      <c r="EC50" s="208"/>
      <c r="ED50" s="183">
        <v>164.83088235294099</v>
      </c>
      <c r="EE50" s="3">
        <v>14206</v>
      </c>
      <c r="EF50" s="183">
        <v>16036</v>
      </c>
      <c r="EG50" s="130">
        <v>16196</v>
      </c>
      <c r="EH50" s="130"/>
      <c r="EI50" s="130"/>
      <c r="EJ50" s="130"/>
      <c r="EK50" s="183">
        <v>-1755</v>
      </c>
      <c r="EL50" s="183">
        <v>0</v>
      </c>
      <c r="EM50" s="183">
        <v>43</v>
      </c>
      <c r="EN50" s="226">
        <v>-5598</v>
      </c>
      <c r="EO50" s="226">
        <v>615</v>
      </c>
      <c r="EP50" s="226">
        <v>86</v>
      </c>
      <c r="EQ50" s="226">
        <v>-2084</v>
      </c>
      <c r="ER50" s="230">
        <v>154</v>
      </c>
      <c r="ES50" s="230">
        <v>122</v>
      </c>
      <c r="ET50" s="3">
        <v>0</v>
      </c>
      <c r="EU50" s="211">
        <v>0</v>
      </c>
      <c r="EV50" s="183">
        <v>2700</v>
      </c>
      <c r="EW50" s="183">
        <v>0</v>
      </c>
      <c r="EX50" s="130">
        <v>1100</v>
      </c>
      <c r="EY50" s="183">
        <v>0</v>
      </c>
      <c r="EZ50" s="3">
        <v>1325</v>
      </c>
      <c r="FA50" s="3">
        <v>875</v>
      </c>
      <c r="FB50" s="3">
        <v>450</v>
      </c>
      <c r="FC50" s="3">
        <v>431</v>
      </c>
      <c r="FD50" s="226">
        <v>3575</v>
      </c>
      <c r="FE50" s="183">
        <v>2955</v>
      </c>
      <c r="FF50" s="183">
        <v>620</v>
      </c>
      <c r="FG50" s="183">
        <v>503</v>
      </c>
      <c r="FH50" s="230">
        <v>4000</v>
      </c>
      <c r="FI50" s="130">
        <v>3270</v>
      </c>
      <c r="FJ50" s="130">
        <v>730</v>
      </c>
      <c r="FK50" s="130">
        <v>491</v>
      </c>
      <c r="FL50" s="29">
        <v>2069.1154096935447</v>
      </c>
      <c r="FM50" s="139">
        <v>2654.7987616099072</v>
      </c>
      <c r="FN50" s="139">
        <v>2853.2766718854841</v>
      </c>
      <c r="FO50" s="172">
        <f t="shared" si="0"/>
        <v>644.27906976744191</v>
      </c>
      <c r="FP50" s="170">
        <f t="shared" si="1"/>
        <v>144.10178254695634</v>
      </c>
      <c r="FR50" s="175"/>
      <c r="FS50" s="195"/>
      <c r="FV50" s="175">
        <v>1420</v>
      </c>
      <c r="FW50" s="2">
        <f t="shared" si="2"/>
        <v>-1420</v>
      </c>
      <c r="FZ50" s="186"/>
      <c r="GA50" s="2"/>
      <c r="GB50" s="2"/>
    </row>
    <row r="51" spans="1:184" ht="13" x14ac:dyDescent="0.3">
      <c r="A51" s="77">
        <v>165</v>
      </c>
      <c r="B51" s="75" t="s">
        <v>50</v>
      </c>
      <c r="C51" s="179">
        <v>16447</v>
      </c>
      <c r="D51" s="138"/>
      <c r="E51" s="142">
        <v>0.60182691181637193</v>
      </c>
      <c r="F51" s="142">
        <v>60.355834948984587</v>
      </c>
      <c r="G51" s="183">
        <v>-2810.2997507144159</v>
      </c>
      <c r="H51" s="144"/>
      <c r="I51" s="186"/>
      <c r="K51" s="210">
        <v>44.489220772227107</v>
      </c>
      <c r="L51" s="143">
        <v>621.99793275369359</v>
      </c>
      <c r="M51" s="146">
        <v>33.110025360455424</v>
      </c>
      <c r="N51" s="143">
        <v>6856.8127926065545</v>
      </c>
      <c r="O51" s="138">
        <v>42786</v>
      </c>
      <c r="P51" s="143">
        <v>16010</v>
      </c>
      <c r="Q51" s="184">
        <v>97437</v>
      </c>
      <c r="R51" s="184">
        <v>-81427</v>
      </c>
      <c r="S51" s="139">
        <v>63292</v>
      </c>
      <c r="T51" s="138">
        <v>23120</v>
      </c>
      <c r="U51" s="151"/>
      <c r="W51" s="183">
        <v>-428</v>
      </c>
      <c r="X51" s="183">
        <v>89</v>
      </c>
      <c r="Y51" s="184">
        <v>4646</v>
      </c>
      <c r="Z51" s="130">
        <v>5527</v>
      </c>
      <c r="AA51" s="130">
        <v>0</v>
      </c>
      <c r="AB51" s="130">
        <v>0</v>
      </c>
      <c r="AC51" s="184">
        <v>-881</v>
      </c>
      <c r="AD51" s="184">
        <v>0</v>
      </c>
      <c r="AE51" s="184">
        <v>0</v>
      </c>
      <c r="AF51" s="183">
        <v>0</v>
      </c>
      <c r="AG51" s="183">
        <v>-881</v>
      </c>
      <c r="AH51" s="183">
        <v>3477</v>
      </c>
      <c r="AI51" s="183">
        <v>3413</v>
      </c>
      <c r="AJ51" s="167"/>
      <c r="AK51" s="183">
        <v>-1217</v>
      </c>
      <c r="AL51" s="183">
        <v>-8046</v>
      </c>
      <c r="AM51" s="180">
        <v>-2652</v>
      </c>
      <c r="AN51" s="139">
        <v>63292</v>
      </c>
      <c r="AO51" s="138">
        <v>57504</v>
      </c>
      <c r="AP51" s="184">
        <v>2130</v>
      </c>
      <c r="AQ51" s="138">
        <v>3658</v>
      </c>
      <c r="AR51" s="109">
        <v>21</v>
      </c>
      <c r="AS51" s="144"/>
      <c r="AT51" s="139">
        <v>119</v>
      </c>
      <c r="AU51" s="228">
        <v>16413</v>
      </c>
      <c r="AV51" s="138"/>
      <c r="AW51" s="224">
        <v>0.25264206668327227</v>
      </c>
      <c r="AX51" s="225">
        <v>62.079656338685226</v>
      </c>
      <c r="AY51" s="139">
        <v>-3162.4322183634922</v>
      </c>
      <c r="AZ51" s="144"/>
      <c r="BA51"/>
      <c r="BC51" s="189">
        <v>41.201376025403547</v>
      </c>
      <c r="BD51" s="183">
        <v>373.4844330713459</v>
      </c>
      <c r="BE51" s="140">
        <v>19.039697059949795</v>
      </c>
      <c r="BF51" s="139">
        <v>7159.8732711874736</v>
      </c>
      <c r="BG51" s="184">
        <v>43972</v>
      </c>
      <c r="BH51" s="216">
        <v>15788</v>
      </c>
      <c r="BI51" s="216">
        <v>101624</v>
      </c>
      <c r="BJ51" s="216">
        <v>-85532</v>
      </c>
      <c r="BK51" s="216">
        <v>62814</v>
      </c>
      <c r="BL51" s="216">
        <v>24290</v>
      </c>
      <c r="BM51" s="151"/>
      <c r="BO51" s="216">
        <v>-368</v>
      </c>
      <c r="BP51" s="216">
        <v>138</v>
      </c>
      <c r="BQ51" s="216">
        <v>1342</v>
      </c>
      <c r="BR51" s="216">
        <v>6091</v>
      </c>
      <c r="BS51" s="216">
        <v>333</v>
      </c>
      <c r="BT51" s="216">
        <v>0</v>
      </c>
      <c r="BU51" s="216">
        <v>-4416</v>
      </c>
      <c r="BV51" s="184">
        <v>0</v>
      </c>
      <c r="BW51" s="184">
        <v>0</v>
      </c>
      <c r="BX51" s="183">
        <v>0</v>
      </c>
      <c r="BY51" s="183">
        <v>-4416</v>
      </c>
      <c r="BZ51" s="183">
        <v>-939</v>
      </c>
      <c r="CA51" s="183">
        <v>1215</v>
      </c>
      <c r="CB51" s="167"/>
      <c r="CC51" s="183">
        <v>-653</v>
      </c>
      <c r="CD51" s="183">
        <v>-8013</v>
      </c>
      <c r="CE51" s="180">
        <v>-5722</v>
      </c>
      <c r="CF51" s="139">
        <v>62814</v>
      </c>
      <c r="CG51" s="216">
        <v>57028</v>
      </c>
      <c r="CH51" s="216">
        <v>1999</v>
      </c>
      <c r="CI51" s="216">
        <v>3787</v>
      </c>
      <c r="CJ51" s="212">
        <v>21</v>
      </c>
      <c r="CK51" s="144"/>
      <c r="CL51" s="130">
        <v>192</v>
      </c>
      <c r="CM51" s="228">
        <v>16237</v>
      </c>
      <c r="CN51" s="138"/>
      <c r="CO51" s="142">
        <v>1.1584796621471438</v>
      </c>
      <c r="CP51" s="142">
        <v>61.588626124151958</v>
      </c>
      <c r="CQ51" s="183">
        <v>-3281.640697173123</v>
      </c>
      <c r="CR51" s="144"/>
      <c r="CS51"/>
      <c r="CU51" s="232">
        <v>40.867894127322465</v>
      </c>
      <c r="CV51" s="143">
        <v>602.32801625916113</v>
      </c>
      <c r="CW51" s="146">
        <v>28.587559762631237</v>
      </c>
      <c r="CX51" s="143">
        <v>7690.3984726242534</v>
      </c>
      <c r="CY51" s="131">
        <v>45651</v>
      </c>
      <c r="CZ51" s="229">
        <v>16087</v>
      </c>
      <c r="DA51" s="229">
        <v>104148</v>
      </c>
      <c r="DB51" s="216">
        <v>-88061</v>
      </c>
      <c r="DC51" s="229">
        <v>66705</v>
      </c>
      <c r="DD51" s="229">
        <v>31634</v>
      </c>
      <c r="DE51" s="151"/>
      <c r="DG51" s="229">
        <v>-336</v>
      </c>
      <c r="DH51" s="229">
        <v>81</v>
      </c>
      <c r="DI51" s="229">
        <v>10023</v>
      </c>
      <c r="DJ51" s="229">
        <v>6478</v>
      </c>
      <c r="DK51" s="229">
        <v>0</v>
      </c>
      <c r="DL51" s="229">
        <v>0</v>
      </c>
      <c r="DM51" s="229">
        <v>3545</v>
      </c>
      <c r="DN51" s="131">
        <v>0</v>
      </c>
      <c r="DO51" s="131">
        <v>0</v>
      </c>
      <c r="DP51" s="130">
        <v>0</v>
      </c>
      <c r="DQ51" s="130">
        <v>3545</v>
      </c>
      <c r="DR51" s="130">
        <v>2607</v>
      </c>
      <c r="DS51" s="130">
        <v>9313</v>
      </c>
      <c r="DT51" s="167"/>
      <c r="DU51" s="183">
        <v>-1359</v>
      </c>
      <c r="DV51" s="183">
        <v>-8597</v>
      </c>
      <c r="DW51" s="180">
        <v>-1525</v>
      </c>
      <c r="DX51" s="130">
        <v>66705</v>
      </c>
      <c r="DY51" s="229">
        <v>60799</v>
      </c>
      <c r="DZ51" s="229">
        <v>2485</v>
      </c>
      <c r="EA51" s="229">
        <v>3421</v>
      </c>
      <c r="EB51" s="212">
        <v>21</v>
      </c>
      <c r="EC51" s="208"/>
      <c r="ED51" s="183">
        <v>177.92647058823499</v>
      </c>
      <c r="EE51" s="3">
        <v>41575</v>
      </c>
      <c r="EF51" s="183">
        <v>43180</v>
      </c>
      <c r="EG51" s="130">
        <v>43620</v>
      </c>
      <c r="EH51" s="130"/>
      <c r="EI51" s="130"/>
      <c r="EJ51" s="130"/>
      <c r="EK51" s="183">
        <v>-7017</v>
      </c>
      <c r="EL51" s="183">
        <v>220</v>
      </c>
      <c r="EM51" s="183">
        <v>732</v>
      </c>
      <c r="EN51" s="226">
        <v>-7676</v>
      </c>
      <c r="EO51" s="226">
        <v>284</v>
      </c>
      <c r="EP51" s="226">
        <v>455</v>
      </c>
      <c r="EQ51" s="226">
        <v>-11950</v>
      </c>
      <c r="ER51" s="230">
        <v>391</v>
      </c>
      <c r="ES51" s="230">
        <v>721</v>
      </c>
      <c r="ET51" s="3">
        <v>6500</v>
      </c>
      <c r="EU51" s="211">
        <v>355</v>
      </c>
      <c r="EV51" s="183">
        <v>11000</v>
      </c>
      <c r="EW51" s="183">
        <v>-422</v>
      </c>
      <c r="EX51" s="130">
        <v>12000</v>
      </c>
      <c r="EY51" s="183">
        <v>1145</v>
      </c>
      <c r="EZ51" s="3">
        <v>45811</v>
      </c>
      <c r="FA51" s="3">
        <v>37627</v>
      </c>
      <c r="FB51" s="3">
        <v>8184</v>
      </c>
      <c r="FC51" s="3">
        <v>1003</v>
      </c>
      <c r="FD51" s="226">
        <v>48374</v>
      </c>
      <c r="FE51" s="183">
        <v>39987</v>
      </c>
      <c r="FF51" s="183">
        <v>8387</v>
      </c>
      <c r="FG51" s="183">
        <v>1003</v>
      </c>
      <c r="FH51" s="230">
        <v>52921</v>
      </c>
      <c r="FI51" s="130">
        <v>42949</v>
      </c>
      <c r="FJ51" s="130">
        <v>9972</v>
      </c>
      <c r="FK51" s="130">
        <v>1003</v>
      </c>
      <c r="FL51" s="29">
        <v>4244.8470845746951</v>
      </c>
      <c r="FM51" s="139">
        <v>4467.9217693291903</v>
      </c>
      <c r="FN51" s="139">
        <v>4741.0851758329736</v>
      </c>
      <c r="FO51" s="172">
        <f t="shared" si="0"/>
        <v>2895.1904761904761</v>
      </c>
      <c r="FP51" s="170">
        <f t="shared" si="1"/>
        <v>178.30821433703738</v>
      </c>
      <c r="FR51" s="175"/>
      <c r="FS51" s="195"/>
      <c r="FV51" s="175">
        <v>5623</v>
      </c>
      <c r="FW51" s="2">
        <f t="shared" si="2"/>
        <v>-5623</v>
      </c>
      <c r="FZ51" s="186"/>
      <c r="GA51" s="2"/>
      <c r="GB51" s="2"/>
    </row>
    <row r="52" spans="1:184" ht="13" x14ac:dyDescent="0.3">
      <c r="A52" s="77">
        <v>167</v>
      </c>
      <c r="B52" s="75" t="s">
        <v>51</v>
      </c>
      <c r="C52" s="179">
        <v>76551</v>
      </c>
      <c r="D52" s="138"/>
      <c r="E52" s="142">
        <v>1.0939951609355525</v>
      </c>
      <c r="F52" s="142">
        <v>55.730921372420845</v>
      </c>
      <c r="G52" s="183">
        <v>-2027.8637770897831</v>
      </c>
      <c r="H52" s="144"/>
      <c r="I52" s="186"/>
      <c r="K52" s="210">
        <v>56.44384250441086</v>
      </c>
      <c r="L52" s="143">
        <v>1163.7992972005591</v>
      </c>
      <c r="M52" s="146">
        <v>62.584755793610626</v>
      </c>
      <c r="N52" s="143">
        <v>6787.3835743491263</v>
      </c>
      <c r="O52" s="138">
        <v>102354</v>
      </c>
      <c r="P52" s="143">
        <v>79777</v>
      </c>
      <c r="Q52" s="184">
        <v>455718</v>
      </c>
      <c r="R52" s="184">
        <v>-375941</v>
      </c>
      <c r="S52" s="139">
        <v>260636</v>
      </c>
      <c r="T52" s="138">
        <v>142927</v>
      </c>
      <c r="U52" s="151"/>
      <c r="W52" s="183">
        <v>-1002</v>
      </c>
      <c r="X52" s="183">
        <v>1855</v>
      </c>
      <c r="Y52" s="184">
        <v>28475</v>
      </c>
      <c r="Z52" s="130">
        <v>32926</v>
      </c>
      <c r="AA52" s="131">
        <v>0</v>
      </c>
      <c r="AB52" s="130">
        <v>0</v>
      </c>
      <c r="AC52" s="184">
        <v>-4451</v>
      </c>
      <c r="AD52" s="184">
        <v>-3096</v>
      </c>
      <c r="AE52" s="184">
        <v>5046</v>
      </c>
      <c r="AF52" s="184">
        <v>101</v>
      </c>
      <c r="AG52" s="183">
        <v>-2400</v>
      </c>
      <c r="AH52" s="183">
        <v>29196</v>
      </c>
      <c r="AI52" s="183">
        <v>23865</v>
      </c>
      <c r="AJ52" s="167"/>
      <c r="AK52" s="183">
        <v>152</v>
      </c>
      <c r="AL52" s="183">
        <v>-25911</v>
      </c>
      <c r="AM52" s="180">
        <v>-9490</v>
      </c>
      <c r="AN52" s="139">
        <v>260636</v>
      </c>
      <c r="AO52" s="138">
        <v>218368</v>
      </c>
      <c r="AP52" s="184">
        <v>21169</v>
      </c>
      <c r="AQ52" s="138">
        <v>21099</v>
      </c>
      <c r="AR52" s="109">
        <v>20.5</v>
      </c>
      <c r="AS52" s="144"/>
      <c r="AT52" s="139">
        <v>85</v>
      </c>
      <c r="AU52" s="228">
        <v>76850</v>
      </c>
      <c r="AV52" s="138"/>
      <c r="AW52" s="224">
        <v>0.91167164703814374</v>
      </c>
      <c r="AX52" s="225">
        <v>58.08642748721909</v>
      </c>
      <c r="AY52" s="139">
        <v>-2220.1301236174368</v>
      </c>
      <c r="AZ52" s="144"/>
      <c r="BA52"/>
      <c r="BC52" s="189">
        <v>54.383988625799745</v>
      </c>
      <c r="BD52" s="183">
        <v>1224.5283018867924</v>
      </c>
      <c r="BE52" s="140">
        <v>62.804920415794335</v>
      </c>
      <c r="BF52" s="139">
        <v>7116.5256994144438</v>
      </c>
      <c r="BG52" s="184">
        <v>105733</v>
      </c>
      <c r="BH52" s="216">
        <v>73023</v>
      </c>
      <c r="BI52" s="216">
        <v>466038</v>
      </c>
      <c r="BJ52" s="216">
        <v>-387072</v>
      </c>
      <c r="BK52" s="216">
        <v>268565</v>
      </c>
      <c r="BL52" s="216">
        <v>145271</v>
      </c>
      <c r="BM52" s="151"/>
      <c r="BO52" s="216">
        <v>-1070</v>
      </c>
      <c r="BP52" s="216">
        <v>3991</v>
      </c>
      <c r="BQ52" s="216">
        <v>29685</v>
      </c>
      <c r="BR52" s="216">
        <v>35429</v>
      </c>
      <c r="BS52" s="216">
        <v>0</v>
      </c>
      <c r="BT52" s="216">
        <v>0</v>
      </c>
      <c r="BU52" s="216">
        <v>-5744</v>
      </c>
      <c r="BV52" s="184">
        <v>-3167</v>
      </c>
      <c r="BW52" s="184">
        <v>5867</v>
      </c>
      <c r="BX52" s="184">
        <v>4</v>
      </c>
      <c r="BY52" s="183">
        <v>-3040</v>
      </c>
      <c r="BZ52" s="183">
        <v>26156</v>
      </c>
      <c r="CA52" s="183">
        <v>27098</v>
      </c>
      <c r="CB52" s="167"/>
      <c r="CC52" s="183">
        <v>3595</v>
      </c>
      <c r="CD52" s="183">
        <v>-31215</v>
      </c>
      <c r="CE52" s="180">
        <v>-17644</v>
      </c>
      <c r="CF52" s="139">
        <v>268565</v>
      </c>
      <c r="CG52" s="216">
        <v>225883</v>
      </c>
      <c r="CH52" s="216">
        <v>21103</v>
      </c>
      <c r="CI52" s="216">
        <v>21579</v>
      </c>
      <c r="CJ52" s="212">
        <v>20.5</v>
      </c>
      <c r="CK52" s="144"/>
      <c r="CL52" s="130">
        <v>61</v>
      </c>
      <c r="CM52" s="228">
        <v>76935</v>
      </c>
      <c r="CN52" s="138"/>
      <c r="CO52" s="142">
        <v>1.5316305916305917</v>
      </c>
      <c r="CP52" s="142">
        <v>53.04203979087611</v>
      </c>
      <c r="CQ52" s="183">
        <v>-1946.9682199259114</v>
      </c>
      <c r="CR52" s="144"/>
      <c r="CS52"/>
      <c r="CU52" s="232">
        <v>55.389798622233016</v>
      </c>
      <c r="CV52" s="143">
        <v>1374.1210112432573</v>
      </c>
      <c r="CW52" s="146">
        <v>70.524394813075148</v>
      </c>
      <c r="CX52" s="143">
        <v>7111.7826736855786</v>
      </c>
      <c r="CY52" s="131">
        <v>99636</v>
      </c>
      <c r="CZ52" s="229">
        <v>75524</v>
      </c>
      <c r="DA52" s="229">
        <v>471379</v>
      </c>
      <c r="DB52" s="216">
        <v>-395855</v>
      </c>
      <c r="DC52" s="229">
        <v>273994</v>
      </c>
      <c r="DD52" s="229">
        <v>171380</v>
      </c>
      <c r="DE52" s="151"/>
      <c r="DG52" s="229">
        <v>-1036</v>
      </c>
      <c r="DH52" s="229">
        <v>3239</v>
      </c>
      <c r="DI52" s="229">
        <v>51722</v>
      </c>
      <c r="DJ52" s="229">
        <v>39427</v>
      </c>
      <c r="DK52" s="229">
        <v>0</v>
      </c>
      <c r="DL52" s="229">
        <v>0</v>
      </c>
      <c r="DM52" s="229">
        <v>12295</v>
      </c>
      <c r="DN52" s="131">
        <v>2724</v>
      </c>
      <c r="DO52" s="131">
        <v>-10533</v>
      </c>
      <c r="DP52" s="131">
        <v>3</v>
      </c>
      <c r="DQ52" s="130">
        <v>4489</v>
      </c>
      <c r="DR52" s="130">
        <v>30645</v>
      </c>
      <c r="DS52" s="130">
        <v>53720</v>
      </c>
      <c r="DT52" s="167"/>
      <c r="DU52" s="183">
        <v>-244</v>
      </c>
      <c r="DV52" s="183">
        <v>-33301</v>
      </c>
      <c r="DW52" s="180">
        <v>13655</v>
      </c>
      <c r="DX52" s="130">
        <v>273994</v>
      </c>
      <c r="DY52" s="229">
        <v>231975</v>
      </c>
      <c r="DZ52" s="229">
        <v>22082</v>
      </c>
      <c r="EA52" s="229">
        <v>19937</v>
      </c>
      <c r="EB52" s="212">
        <v>20.5</v>
      </c>
      <c r="EC52" s="208"/>
      <c r="ED52" s="183">
        <v>146.69852941176401</v>
      </c>
      <c r="EE52" s="3">
        <v>301762</v>
      </c>
      <c r="EF52" s="183">
        <v>310419</v>
      </c>
      <c r="EG52" s="130">
        <v>318211</v>
      </c>
      <c r="EH52" s="130"/>
      <c r="EI52" s="130"/>
      <c r="EJ52" s="130"/>
      <c r="EK52" s="183">
        <v>-40426</v>
      </c>
      <c r="EL52" s="183">
        <v>1534</v>
      </c>
      <c r="EM52" s="183">
        <v>5537</v>
      </c>
      <c r="EN52" s="226">
        <v>-53298</v>
      </c>
      <c r="EO52" s="226">
        <v>1310</v>
      </c>
      <c r="EP52" s="226">
        <v>7246</v>
      </c>
      <c r="EQ52" s="226">
        <v>-44787</v>
      </c>
      <c r="ER52" s="230">
        <v>1116</v>
      </c>
      <c r="ES52" s="230">
        <v>3606</v>
      </c>
      <c r="ET52" s="3">
        <v>62000</v>
      </c>
      <c r="EU52" s="211">
        <v>-30336</v>
      </c>
      <c r="EV52" s="183">
        <v>52000</v>
      </c>
      <c r="EW52" s="183">
        <v>-3465</v>
      </c>
      <c r="EX52" s="130">
        <v>20000</v>
      </c>
      <c r="EY52" s="183">
        <v>-93</v>
      </c>
      <c r="EZ52" s="3">
        <v>234631</v>
      </c>
      <c r="FA52" s="3">
        <v>175297</v>
      </c>
      <c r="FB52" s="3">
        <v>59334</v>
      </c>
      <c r="FC52" s="3">
        <v>24753</v>
      </c>
      <c r="FD52" s="226">
        <v>251951</v>
      </c>
      <c r="FE52" s="183">
        <v>193996</v>
      </c>
      <c r="FF52" s="183">
        <v>57955</v>
      </c>
      <c r="FG52" s="183">
        <v>22439</v>
      </c>
      <c r="FH52" s="230">
        <v>238557</v>
      </c>
      <c r="FI52" s="130">
        <v>179596</v>
      </c>
      <c r="FJ52" s="130">
        <v>58961</v>
      </c>
      <c r="FK52" s="130">
        <v>20510</v>
      </c>
      <c r="FL52" s="29">
        <v>6623.5842771485677</v>
      </c>
      <c r="FM52" s="139">
        <v>7174.8861418347433</v>
      </c>
      <c r="FN52" s="139">
        <v>7124.8846428803536</v>
      </c>
      <c r="FO52" s="172">
        <f t="shared" si="0"/>
        <v>11315.853658536585</v>
      </c>
      <c r="FP52" s="170">
        <f t="shared" si="1"/>
        <v>147.08329964952992</v>
      </c>
      <c r="FR52" s="175"/>
      <c r="FS52" s="195"/>
      <c r="FV52" s="175">
        <v>9446</v>
      </c>
      <c r="FW52" s="2">
        <f t="shared" si="2"/>
        <v>-9446</v>
      </c>
      <c r="FZ52" s="186"/>
      <c r="GA52" s="2"/>
      <c r="GB52" s="2"/>
    </row>
    <row r="53" spans="1:184" ht="13" x14ac:dyDescent="0.3">
      <c r="A53" s="77">
        <v>169</v>
      </c>
      <c r="B53" s="75" t="s">
        <v>52</v>
      </c>
      <c r="C53" s="179">
        <v>5195</v>
      </c>
      <c r="D53" s="138"/>
      <c r="E53" s="142">
        <v>1.1250849762066621</v>
      </c>
      <c r="F53" s="142">
        <v>55.83267029805986</v>
      </c>
      <c r="G53" s="183">
        <v>-3094.3214629451395</v>
      </c>
      <c r="H53" s="144"/>
      <c r="I53" s="186"/>
      <c r="K53" s="210">
        <v>50.088444174565041</v>
      </c>
      <c r="L53" s="143">
        <v>102.02117420596727</v>
      </c>
      <c r="M53" s="146">
        <v>5.8341878279751489</v>
      </c>
      <c r="N53" s="143">
        <v>6382.6756496631369</v>
      </c>
      <c r="O53" s="138">
        <v>9454</v>
      </c>
      <c r="P53" s="143">
        <v>4355</v>
      </c>
      <c r="Q53" s="184">
        <v>31045</v>
      </c>
      <c r="R53" s="184">
        <v>-26690</v>
      </c>
      <c r="S53" s="139">
        <v>18793</v>
      </c>
      <c r="T53" s="138">
        <v>9530</v>
      </c>
      <c r="U53" s="151"/>
      <c r="W53" s="183">
        <v>-135</v>
      </c>
      <c r="X53" s="183">
        <v>22</v>
      </c>
      <c r="Y53" s="184">
        <v>1520</v>
      </c>
      <c r="Z53" s="130">
        <v>1551</v>
      </c>
      <c r="AA53" s="130">
        <v>0</v>
      </c>
      <c r="AB53" s="130">
        <v>0</v>
      </c>
      <c r="AC53" s="184">
        <v>-31</v>
      </c>
      <c r="AD53" s="183">
        <v>0</v>
      </c>
      <c r="AE53" s="183">
        <v>0</v>
      </c>
      <c r="AF53" s="183">
        <v>0</v>
      </c>
      <c r="AG53" s="183">
        <v>-31</v>
      </c>
      <c r="AH53" s="183">
        <v>6162</v>
      </c>
      <c r="AI53" s="183">
        <v>1390</v>
      </c>
      <c r="AJ53" s="167"/>
      <c r="AK53" s="183">
        <v>163</v>
      </c>
      <c r="AL53" s="183">
        <v>-1336</v>
      </c>
      <c r="AM53" s="180">
        <v>858</v>
      </c>
      <c r="AN53" s="139">
        <v>18793</v>
      </c>
      <c r="AO53" s="138">
        <v>16786</v>
      </c>
      <c r="AP53" s="184">
        <v>1021</v>
      </c>
      <c r="AQ53" s="138">
        <v>986</v>
      </c>
      <c r="AR53" s="109">
        <v>21.25</v>
      </c>
      <c r="AS53" s="144"/>
      <c r="AT53" s="139">
        <v>113</v>
      </c>
      <c r="AU53" s="228">
        <v>5133</v>
      </c>
      <c r="AV53" s="138"/>
      <c r="AW53" s="224">
        <v>0.75767267014531781</v>
      </c>
      <c r="AX53" s="225">
        <v>55.907256228946011</v>
      </c>
      <c r="AY53" s="139">
        <v>-2938.0479251899474</v>
      </c>
      <c r="AZ53" s="144"/>
      <c r="BA53"/>
      <c r="BC53" s="189">
        <v>49.969716919025672</v>
      </c>
      <c r="BD53" s="183">
        <v>169.68634326904345</v>
      </c>
      <c r="BE53" s="140">
        <v>9.4183083987557392</v>
      </c>
      <c r="BF53" s="139">
        <v>6576.0763685953634</v>
      </c>
      <c r="BG53" s="184">
        <v>9238</v>
      </c>
      <c r="BH53" s="216">
        <v>4377</v>
      </c>
      <c r="BI53" s="216">
        <v>31296</v>
      </c>
      <c r="BJ53" s="216">
        <v>-26919</v>
      </c>
      <c r="BK53" s="216">
        <v>19094</v>
      </c>
      <c r="BL53" s="216">
        <v>9480</v>
      </c>
      <c r="BM53" s="151"/>
      <c r="BO53" s="216">
        <v>-125</v>
      </c>
      <c r="BP53" s="216">
        <v>33</v>
      </c>
      <c r="BQ53" s="216">
        <v>1563</v>
      </c>
      <c r="BR53" s="216">
        <v>1560</v>
      </c>
      <c r="BS53" s="216">
        <v>0</v>
      </c>
      <c r="BT53" s="216">
        <v>0</v>
      </c>
      <c r="BU53" s="216">
        <v>3</v>
      </c>
      <c r="BV53" s="183">
        <v>0</v>
      </c>
      <c r="BW53" s="183">
        <v>0</v>
      </c>
      <c r="BX53" s="183">
        <v>0</v>
      </c>
      <c r="BY53" s="183">
        <v>3</v>
      </c>
      <c r="BZ53" s="183">
        <v>6166</v>
      </c>
      <c r="CA53" s="183">
        <v>1457</v>
      </c>
      <c r="CB53" s="167"/>
      <c r="CC53" s="183">
        <v>-829</v>
      </c>
      <c r="CD53" s="183">
        <v>-1391</v>
      </c>
      <c r="CE53" s="180">
        <v>535</v>
      </c>
      <c r="CF53" s="139">
        <v>19094</v>
      </c>
      <c r="CG53" s="216">
        <v>17212</v>
      </c>
      <c r="CH53" s="216">
        <v>869</v>
      </c>
      <c r="CI53" s="216">
        <v>1013</v>
      </c>
      <c r="CJ53" s="212">
        <v>21.25</v>
      </c>
      <c r="CK53" s="144"/>
      <c r="CL53" s="130">
        <v>87</v>
      </c>
      <c r="CM53" s="228">
        <v>5061</v>
      </c>
      <c r="CN53" s="138"/>
      <c r="CO53" s="142">
        <v>2.6796448087431695</v>
      </c>
      <c r="CP53" s="142">
        <v>41.724377694340149</v>
      </c>
      <c r="CQ53" s="183">
        <v>-2404.2679312388855</v>
      </c>
      <c r="CR53" s="144"/>
      <c r="CS53"/>
      <c r="CU53" s="232">
        <v>57.902298850574709</v>
      </c>
      <c r="CV53" s="143">
        <v>126.25963248369888</v>
      </c>
      <c r="CW53" s="146">
        <v>6.7724091872586314</v>
      </c>
      <c r="CX53" s="143">
        <v>6804.7816637028254</v>
      </c>
      <c r="CY53" s="131">
        <v>9580</v>
      </c>
      <c r="CZ53" s="229">
        <v>4423</v>
      </c>
      <c r="DA53" s="229">
        <v>32072</v>
      </c>
      <c r="DB53" s="216">
        <v>-27649</v>
      </c>
      <c r="DC53" s="229">
        <v>20308</v>
      </c>
      <c r="DD53" s="229">
        <v>11224</v>
      </c>
      <c r="DE53" s="151"/>
      <c r="DG53" s="229">
        <v>-111</v>
      </c>
      <c r="DH53" s="229">
        <v>33</v>
      </c>
      <c r="DI53" s="229">
        <v>3805</v>
      </c>
      <c r="DJ53" s="229">
        <v>1423</v>
      </c>
      <c r="DK53" s="229">
        <v>0</v>
      </c>
      <c r="DL53" s="229">
        <v>0</v>
      </c>
      <c r="DM53" s="229">
        <v>2382</v>
      </c>
      <c r="DN53" s="130">
        <v>0</v>
      </c>
      <c r="DO53" s="130">
        <v>0</v>
      </c>
      <c r="DP53" s="130">
        <v>0</v>
      </c>
      <c r="DQ53" s="130">
        <v>2382</v>
      </c>
      <c r="DR53" s="130">
        <v>8549</v>
      </c>
      <c r="DS53" s="130">
        <v>3688</v>
      </c>
      <c r="DT53" s="167"/>
      <c r="DU53" s="183">
        <v>274</v>
      </c>
      <c r="DV53" s="183">
        <v>-1346</v>
      </c>
      <c r="DW53" s="180">
        <v>2891</v>
      </c>
      <c r="DX53" s="130">
        <v>20308</v>
      </c>
      <c r="DY53" s="229">
        <v>18058</v>
      </c>
      <c r="DZ53" s="229">
        <v>1348</v>
      </c>
      <c r="EA53" s="229">
        <v>902</v>
      </c>
      <c r="EB53" s="212">
        <v>21.25</v>
      </c>
      <c r="EC53" s="208"/>
      <c r="ED53" s="183">
        <v>103.38235294117599</v>
      </c>
      <c r="EE53" s="3">
        <v>19091</v>
      </c>
      <c r="EF53" s="183">
        <v>19460</v>
      </c>
      <c r="EG53" s="130">
        <v>19812</v>
      </c>
      <c r="EH53" s="130"/>
      <c r="EI53" s="130"/>
      <c r="EJ53" s="130"/>
      <c r="EK53" s="183">
        <v>-639</v>
      </c>
      <c r="EL53" s="183">
        <v>28</v>
      </c>
      <c r="EM53" s="183">
        <v>79</v>
      </c>
      <c r="EN53" s="226">
        <v>-940</v>
      </c>
      <c r="EO53" s="226">
        <v>0</v>
      </c>
      <c r="EP53" s="226">
        <v>18</v>
      </c>
      <c r="EQ53" s="226">
        <v>-902</v>
      </c>
      <c r="ER53" s="230">
        <v>0</v>
      </c>
      <c r="ES53" s="230">
        <v>105</v>
      </c>
      <c r="ET53" s="3">
        <v>0</v>
      </c>
      <c r="EU53" s="211">
        <v>-600</v>
      </c>
      <c r="EV53" s="183">
        <v>1100</v>
      </c>
      <c r="EW53" s="183">
        <v>1300</v>
      </c>
      <c r="EX53" s="130">
        <v>730</v>
      </c>
      <c r="EY53" s="183">
        <v>-3100</v>
      </c>
      <c r="EZ53" s="3">
        <v>15085</v>
      </c>
      <c r="FA53" s="3">
        <v>9049</v>
      </c>
      <c r="FB53" s="3">
        <v>6036</v>
      </c>
      <c r="FC53" s="3">
        <v>416</v>
      </c>
      <c r="FD53" s="226">
        <v>16094</v>
      </c>
      <c r="FE53" s="183">
        <v>8748</v>
      </c>
      <c r="FF53" s="183">
        <v>7346</v>
      </c>
      <c r="FG53" s="183">
        <v>0</v>
      </c>
      <c r="FH53" s="230">
        <v>12378</v>
      </c>
      <c r="FI53" s="130">
        <v>8155</v>
      </c>
      <c r="FJ53" s="130">
        <v>4223</v>
      </c>
      <c r="FK53" s="130">
        <v>0</v>
      </c>
      <c r="FL53" s="29">
        <v>3610.202117420597</v>
      </c>
      <c r="FM53" s="139">
        <v>3743.8145334112605</v>
      </c>
      <c r="FN53" s="139">
        <v>2979.4507014424025</v>
      </c>
      <c r="FO53" s="172">
        <f t="shared" si="0"/>
        <v>849.78823529411761</v>
      </c>
      <c r="FP53" s="170">
        <f t="shared" si="1"/>
        <v>167.90915536339017</v>
      </c>
      <c r="FR53" s="175"/>
      <c r="FS53" s="195"/>
      <c r="FV53" s="175">
        <v>2224</v>
      </c>
      <c r="FW53" s="2">
        <f t="shared" si="2"/>
        <v>-2224</v>
      </c>
      <c r="FZ53" s="186"/>
      <c r="GA53" s="2"/>
      <c r="GB53" s="2"/>
    </row>
    <row r="54" spans="1:184" ht="13" x14ac:dyDescent="0.3">
      <c r="A54" s="77">
        <v>171</v>
      </c>
      <c r="B54" s="75" t="s">
        <v>53</v>
      </c>
      <c r="C54" s="179">
        <v>4812</v>
      </c>
      <c r="D54" s="138"/>
      <c r="E54" s="142">
        <v>-0.30998389694041867</v>
      </c>
      <c r="F54" s="142">
        <v>74.967433782023448</v>
      </c>
      <c r="G54" s="183">
        <v>-2056.5253532834581</v>
      </c>
      <c r="H54" s="144"/>
      <c r="I54" s="186"/>
      <c r="K54" s="210">
        <v>45.708738730697135</v>
      </c>
      <c r="L54" s="143">
        <v>2766.0016625103908</v>
      </c>
      <c r="M54" s="146">
        <v>117.2588158625184</v>
      </c>
      <c r="N54" s="143">
        <v>8609.933499584371</v>
      </c>
      <c r="O54" s="138">
        <v>8573</v>
      </c>
      <c r="P54" s="143">
        <v>3896</v>
      </c>
      <c r="Q54" s="184">
        <v>33104</v>
      </c>
      <c r="R54" s="184">
        <v>-29208</v>
      </c>
      <c r="S54" s="139">
        <v>16215</v>
      </c>
      <c r="T54" s="138">
        <v>12205</v>
      </c>
      <c r="U54" s="151"/>
      <c r="W54" s="183">
        <v>0</v>
      </c>
      <c r="X54" s="183">
        <v>-142</v>
      </c>
      <c r="Y54" s="184">
        <v>-930</v>
      </c>
      <c r="Z54" s="130">
        <v>925</v>
      </c>
      <c r="AA54" s="130">
        <v>0</v>
      </c>
      <c r="AB54" s="131">
        <v>0</v>
      </c>
      <c r="AC54" s="184">
        <v>-1855</v>
      </c>
      <c r="AD54" s="184">
        <v>31</v>
      </c>
      <c r="AE54" s="184">
        <v>100</v>
      </c>
      <c r="AF54" s="183">
        <v>0</v>
      </c>
      <c r="AG54" s="183">
        <v>-1724</v>
      </c>
      <c r="AH54" s="183">
        <v>4856</v>
      </c>
      <c r="AI54" s="183">
        <v>-933</v>
      </c>
      <c r="AJ54" s="167"/>
      <c r="AK54" s="183">
        <v>0</v>
      </c>
      <c r="AL54" s="183">
        <v>-2324</v>
      </c>
      <c r="AM54" s="180">
        <v>-6607</v>
      </c>
      <c r="AN54" s="139">
        <v>16215</v>
      </c>
      <c r="AO54" s="138">
        <v>13705</v>
      </c>
      <c r="AP54" s="184">
        <v>1385</v>
      </c>
      <c r="AQ54" s="138">
        <v>1125</v>
      </c>
      <c r="AR54" s="109">
        <v>20.75</v>
      </c>
      <c r="AS54" s="144"/>
      <c r="AT54" s="139">
        <v>286</v>
      </c>
      <c r="AU54" s="228">
        <v>4767</v>
      </c>
      <c r="AV54" s="138"/>
      <c r="AW54" s="224">
        <v>0.29180815750314776</v>
      </c>
      <c r="AX54" s="225">
        <v>78.875736089412328</v>
      </c>
      <c r="AY54" s="139">
        <v>-3024.1241871197817</v>
      </c>
      <c r="AZ54" s="144"/>
      <c r="BA54"/>
      <c r="BC54" s="189">
        <v>43.371943371943374</v>
      </c>
      <c r="BD54" s="183">
        <v>2325.3618628067966</v>
      </c>
      <c r="BE54" s="140">
        <v>98.347715119105487</v>
      </c>
      <c r="BF54" s="139">
        <v>8630.1657226767366</v>
      </c>
      <c r="BG54" s="184">
        <v>8569</v>
      </c>
      <c r="BH54" s="216">
        <v>3947</v>
      </c>
      <c r="BI54" s="216">
        <v>32751</v>
      </c>
      <c r="BJ54" s="216">
        <v>-28726</v>
      </c>
      <c r="BK54" s="216">
        <v>16984</v>
      </c>
      <c r="BL54" s="216">
        <v>12353</v>
      </c>
      <c r="BM54" s="151"/>
      <c r="BO54" s="216">
        <v>-27</v>
      </c>
      <c r="BP54" s="216">
        <v>202</v>
      </c>
      <c r="BQ54" s="216">
        <v>786</v>
      </c>
      <c r="BR54" s="216">
        <v>1050</v>
      </c>
      <c r="BS54" s="216">
        <v>0</v>
      </c>
      <c r="BT54" s="216">
        <v>0</v>
      </c>
      <c r="BU54" s="216">
        <v>-264</v>
      </c>
      <c r="BV54" s="184">
        <v>31</v>
      </c>
      <c r="BW54" s="184">
        <v>0</v>
      </c>
      <c r="BX54" s="183">
        <v>0</v>
      </c>
      <c r="BY54" s="183">
        <v>-233</v>
      </c>
      <c r="BZ54" s="183">
        <v>4624</v>
      </c>
      <c r="CA54" s="183">
        <v>769</v>
      </c>
      <c r="CB54" s="167"/>
      <c r="CC54" s="183">
        <v>17</v>
      </c>
      <c r="CD54" s="183">
        <v>-2845</v>
      </c>
      <c r="CE54" s="180">
        <v>-4452</v>
      </c>
      <c r="CF54" s="139">
        <v>16984</v>
      </c>
      <c r="CG54" s="216">
        <v>14427</v>
      </c>
      <c r="CH54" s="216">
        <v>1439</v>
      </c>
      <c r="CI54" s="216">
        <v>1118</v>
      </c>
      <c r="CJ54" s="212">
        <v>21.25</v>
      </c>
      <c r="CK54" s="144"/>
      <c r="CL54" s="130">
        <v>145</v>
      </c>
      <c r="CM54" s="228">
        <v>4689</v>
      </c>
      <c r="CN54" s="138"/>
      <c r="CO54" s="142">
        <v>0.92261904761904767</v>
      </c>
      <c r="CP54" s="142">
        <v>75.942855545304596</v>
      </c>
      <c r="CQ54" s="183">
        <v>-2596.2891874600127</v>
      </c>
      <c r="CR54" s="144"/>
      <c r="CS54"/>
      <c r="CU54" s="232">
        <v>44.806953709318776</v>
      </c>
      <c r="CV54" s="143">
        <v>3013.2224354873106</v>
      </c>
      <c r="CW54" s="146">
        <v>137.77209339602479</v>
      </c>
      <c r="CX54" s="143">
        <v>7982.9387929195991</v>
      </c>
      <c r="CY54" s="131">
        <v>8220</v>
      </c>
      <c r="CZ54" s="229">
        <v>4154</v>
      </c>
      <c r="DA54" s="229">
        <v>32700</v>
      </c>
      <c r="DB54" s="216">
        <v>-28546</v>
      </c>
      <c r="DC54" s="229">
        <v>17770</v>
      </c>
      <c r="DD54" s="229">
        <v>13852</v>
      </c>
      <c r="DE54" s="151"/>
      <c r="DG54" s="229">
        <v>-59</v>
      </c>
      <c r="DH54" s="229">
        <v>81</v>
      </c>
      <c r="DI54" s="229">
        <v>3098</v>
      </c>
      <c r="DJ54" s="229">
        <v>1151</v>
      </c>
      <c r="DK54" s="229">
        <v>0</v>
      </c>
      <c r="DL54" s="229">
        <v>0</v>
      </c>
      <c r="DM54" s="229">
        <v>1947</v>
      </c>
      <c r="DN54" s="131">
        <v>31</v>
      </c>
      <c r="DO54" s="131">
        <v>0</v>
      </c>
      <c r="DP54" s="130">
        <v>0</v>
      </c>
      <c r="DQ54" s="130">
        <v>1978</v>
      </c>
      <c r="DR54" s="130">
        <v>6601</v>
      </c>
      <c r="DS54" s="130">
        <v>3016</v>
      </c>
      <c r="DT54" s="167"/>
      <c r="DU54" s="183">
        <v>-319</v>
      </c>
      <c r="DV54" s="183">
        <v>-3371</v>
      </c>
      <c r="DW54" s="180">
        <v>2248</v>
      </c>
      <c r="DX54" s="130">
        <v>17770</v>
      </c>
      <c r="DY54" s="229">
        <v>15027</v>
      </c>
      <c r="DZ54" s="229">
        <v>1736</v>
      </c>
      <c r="EA54" s="229">
        <v>1007</v>
      </c>
      <c r="EB54" s="212">
        <v>21.25</v>
      </c>
      <c r="EC54" s="208"/>
      <c r="ED54" s="183">
        <v>151.73529411764699</v>
      </c>
      <c r="EE54" s="3">
        <v>21720</v>
      </c>
      <c r="EF54" s="183">
        <v>21723</v>
      </c>
      <c r="EG54" s="130">
        <v>22105</v>
      </c>
      <c r="EH54" s="130"/>
      <c r="EI54" s="130">
        <v>660</v>
      </c>
      <c r="EJ54" s="130"/>
      <c r="EK54" s="183">
        <v>-5723</v>
      </c>
      <c r="EL54" s="183">
        <v>45</v>
      </c>
      <c r="EM54" s="183">
        <v>4</v>
      </c>
      <c r="EN54" s="226">
        <v>-5347</v>
      </c>
      <c r="EO54" s="226">
        <v>106</v>
      </c>
      <c r="EP54" s="226">
        <v>20</v>
      </c>
      <c r="EQ54" s="226">
        <v>-1107</v>
      </c>
      <c r="ER54" s="230">
        <v>54</v>
      </c>
      <c r="ES54" s="230">
        <v>285</v>
      </c>
      <c r="ET54" s="3">
        <v>5000</v>
      </c>
      <c r="EU54" s="211">
        <v>0</v>
      </c>
      <c r="EV54" s="183">
        <v>5000</v>
      </c>
      <c r="EW54" s="183">
        <v>0</v>
      </c>
      <c r="EX54" s="130">
        <v>3350</v>
      </c>
      <c r="EY54" s="183">
        <v>0</v>
      </c>
      <c r="EZ54" s="3">
        <v>20635</v>
      </c>
      <c r="FA54" s="3">
        <v>17790</v>
      </c>
      <c r="FB54" s="3">
        <v>2845</v>
      </c>
      <c r="FC54" s="3">
        <v>302</v>
      </c>
      <c r="FD54" s="226">
        <v>22790</v>
      </c>
      <c r="FE54" s="183">
        <v>19419</v>
      </c>
      <c r="FF54" s="183">
        <v>3371</v>
      </c>
      <c r="FG54" s="183">
        <v>302</v>
      </c>
      <c r="FH54" s="230">
        <v>22769</v>
      </c>
      <c r="FI54" s="130">
        <v>19166</v>
      </c>
      <c r="FJ54" s="130">
        <v>3603</v>
      </c>
      <c r="FK54" s="130">
        <v>302</v>
      </c>
      <c r="FL54" s="29">
        <v>6479.4264339152123</v>
      </c>
      <c r="FM54" s="139">
        <v>7215.0199286763163</v>
      </c>
      <c r="FN54" s="139">
        <v>7288.7609298357856</v>
      </c>
      <c r="FO54" s="172">
        <f t="shared" si="0"/>
        <v>707.15294117647056</v>
      </c>
      <c r="FP54" s="170">
        <f t="shared" si="1"/>
        <v>150.81103458657935</v>
      </c>
      <c r="FR54" s="175"/>
      <c r="FS54" s="195"/>
      <c r="FV54" s="175">
        <v>1768</v>
      </c>
      <c r="FW54" s="2">
        <f t="shared" si="2"/>
        <v>-1768</v>
      </c>
      <c r="FZ54" s="186"/>
      <c r="GA54" s="2"/>
      <c r="GB54" s="2"/>
    </row>
    <row r="55" spans="1:184" ht="13" x14ac:dyDescent="0.3">
      <c r="A55" s="77">
        <v>172</v>
      </c>
      <c r="B55" s="75" t="s">
        <v>54</v>
      </c>
      <c r="C55" s="179">
        <v>4467</v>
      </c>
      <c r="D55" s="138"/>
      <c r="E55" s="142">
        <v>0.94173343044428259</v>
      </c>
      <c r="F55" s="142">
        <v>46.944428579587644</v>
      </c>
      <c r="G55" s="183">
        <v>-3017.2375195880904</v>
      </c>
      <c r="H55" s="144"/>
      <c r="I55" s="186"/>
      <c r="K55" s="210">
        <v>36.88640045073597</v>
      </c>
      <c r="L55" s="143">
        <v>343.63107230803666</v>
      </c>
      <c r="M55" s="146">
        <v>15.602199944305207</v>
      </c>
      <c r="N55" s="143">
        <v>8038.9523169912691</v>
      </c>
      <c r="O55" s="138">
        <v>12163</v>
      </c>
      <c r="P55" s="143">
        <v>4954</v>
      </c>
      <c r="Q55" s="184">
        <v>33843</v>
      </c>
      <c r="R55" s="184">
        <v>-28889</v>
      </c>
      <c r="S55" s="139">
        <v>14898</v>
      </c>
      <c r="T55" s="138">
        <v>15166</v>
      </c>
      <c r="U55" s="151"/>
      <c r="W55" s="183">
        <v>-71</v>
      </c>
      <c r="X55" s="183">
        <v>114</v>
      </c>
      <c r="Y55" s="184">
        <v>1218</v>
      </c>
      <c r="Z55" s="130">
        <v>1267</v>
      </c>
      <c r="AA55" s="131">
        <v>169</v>
      </c>
      <c r="AB55" s="131">
        <v>82</v>
      </c>
      <c r="AC55" s="184">
        <v>38</v>
      </c>
      <c r="AD55" s="184">
        <v>23</v>
      </c>
      <c r="AE55" s="183">
        <v>0</v>
      </c>
      <c r="AF55" s="184">
        <v>0</v>
      </c>
      <c r="AG55" s="183">
        <v>61</v>
      </c>
      <c r="AH55" s="183">
        <v>3841</v>
      </c>
      <c r="AI55" s="183">
        <v>1401</v>
      </c>
      <c r="AJ55" s="167"/>
      <c r="AK55" s="183">
        <v>-53</v>
      </c>
      <c r="AL55" s="183">
        <v>-1298</v>
      </c>
      <c r="AM55" s="180">
        <v>759</v>
      </c>
      <c r="AN55" s="139">
        <v>14898</v>
      </c>
      <c r="AO55" s="138">
        <v>11668</v>
      </c>
      <c r="AP55" s="184">
        <v>1476</v>
      </c>
      <c r="AQ55" s="138">
        <v>1754</v>
      </c>
      <c r="AR55" s="109">
        <v>21</v>
      </c>
      <c r="AS55" s="144"/>
      <c r="AT55" s="139">
        <v>124</v>
      </c>
      <c r="AU55" s="228">
        <v>4377</v>
      </c>
      <c r="AV55" s="138"/>
      <c r="AW55" s="224">
        <v>0.48246924116350187</v>
      </c>
      <c r="AX55" s="225">
        <v>45.248471813448042</v>
      </c>
      <c r="AY55" s="139">
        <v>-3326.4793237377198</v>
      </c>
      <c r="AZ55" s="144"/>
      <c r="BA55"/>
      <c r="BC55" s="189">
        <v>36.087560298202014</v>
      </c>
      <c r="BD55" s="183">
        <v>25.131368517249257</v>
      </c>
      <c r="BE55" s="140">
        <v>1.0487135954028992</v>
      </c>
      <c r="BF55" s="139">
        <v>8746.8585789353438</v>
      </c>
      <c r="BG55" s="184">
        <v>12045</v>
      </c>
      <c r="BH55" s="216">
        <v>4581</v>
      </c>
      <c r="BI55" s="216">
        <v>34675</v>
      </c>
      <c r="BJ55" s="216">
        <v>-30088</v>
      </c>
      <c r="BK55" s="216">
        <v>15570</v>
      </c>
      <c r="BL55" s="216">
        <v>15185</v>
      </c>
      <c r="BM55" s="151"/>
      <c r="BO55" s="216">
        <v>-63</v>
      </c>
      <c r="BP55" s="216">
        <v>177</v>
      </c>
      <c r="BQ55" s="216">
        <v>781</v>
      </c>
      <c r="BR55" s="216">
        <v>1380</v>
      </c>
      <c r="BS55" s="216">
        <v>0</v>
      </c>
      <c r="BT55" s="216">
        <v>0</v>
      </c>
      <c r="BU55" s="216">
        <v>-599</v>
      </c>
      <c r="BV55" s="184">
        <v>17</v>
      </c>
      <c r="BW55" s="183">
        <v>0</v>
      </c>
      <c r="BX55" s="184">
        <v>0</v>
      </c>
      <c r="BY55" s="183">
        <v>-582</v>
      </c>
      <c r="BZ55" s="183">
        <v>3259</v>
      </c>
      <c r="CA55" s="183">
        <v>788</v>
      </c>
      <c r="CB55" s="167"/>
      <c r="CC55" s="183">
        <v>107</v>
      </c>
      <c r="CD55" s="183">
        <v>-1530</v>
      </c>
      <c r="CE55" s="180">
        <v>-1108</v>
      </c>
      <c r="CF55" s="139">
        <v>15570</v>
      </c>
      <c r="CG55" s="216">
        <v>12176</v>
      </c>
      <c r="CH55" s="216">
        <v>1618</v>
      </c>
      <c r="CI55" s="216">
        <v>1776</v>
      </c>
      <c r="CJ55" s="212">
        <v>21</v>
      </c>
      <c r="CK55" s="144"/>
      <c r="CL55" s="130">
        <v>136</v>
      </c>
      <c r="CM55" s="228">
        <v>4297</v>
      </c>
      <c r="CN55" s="138"/>
      <c r="CO55" s="142">
        <v>0.5</v>
      </c>
      <c r="CP55" s="142">
        <v>55.106776804707572</v>
      </c>
      <c r="CQ55" s="183">
        <v>-4171.2822899697467</v>
      </c>
      <c r="CR55" s="144"/>
      <c r="CS55"/>
      <c r="CU55" s="232">
        <v>30.225787669017272</v>
      </c>
      <c r="CV55" s="143">
        <v>171.51501047242263</v>
      </c>
      <c r="CW55" s="146">
        <v>6.5080805148304064</v>
      </c>
      <c r="CX55" s="143">
        <v>9619.2692576215959</v>
      </c>
      <c r="CY55" s="131">
        <v>12396</v>
      </c>
      <c r="CZ55" s="229">
        <v>4689</v>
      </c>
      <c r="DA55" s="229">
        <v>35741</v>
      </c>
      <c r="DB55" s="216">
        <v>-31052</v>
      </c>
      <c r="DC55" s="229">
        <v>15062</v>
      </c>
      <c r="DD55" s="229">
        <v>16480</v>
      </c>
      <c r="DE55" s="151"/>
      <c r="DG55" s="229">
        <v>-37</v>
      </c>
      <c r="DH55" s="229">
        <v>193</v>
      </c>
      <c r="DI55" s="229">
        <v>646</v>
      </c>
      <c r="DJ55" s="229">
        <v>1107</v>
      </c>
      <c r="DK55" s="229">
        <v>0</v>
      </c>
      <c r="DL55" s="229">
        <v>70</v>
      </c>
      <c r="DM55" s="229">
        <v>-531</v>
      </c>
      <c r="DN55" s="131">
        <v>6</v>
      </c>
      <c r="DO55" s="130">
        <v>0</v>
      </c>
      <c r="DP55" s="131">
        <v>0</v>
      </c>
      <c r="DQ55" s="130">
        <v>-525</v>
      </c>
      <c r="DR55" s="130">
        <v>2734</v>
      </c>
      <c r="DS55" s="130">
        <v>572</v>
      </c>
      <c r="DT55" s="167"/>
      <c r="DU55" s="183">
        <v>33</v>
      </c>
      <c r="DV55" s="183">
        <v>-1356</v>
      </c>
      <c r="DW55" s="180">
        <v>-3609</v>
      </c>
      <c r="DX55" s="130">
        <v>15062</v>
      </c>
      <c r="DY55" s="229">
        <v>11730</v>
      </c>
      <c r="DZ55" s="229">
        <v>1766</v>
      </c>
      <c r="EA55" s="229">
        <v>1566</v>
      </c>
      <c r="EB55" s="212">
        <v>21</v>
      </c>
      <c r="EC55" s="208"/>
      <c r="ED55" s="183">
        <v>285.713235294117</v>
      </c>
      <c r="EE55" s="3">
        <v>16717</v>
      </c>
      <c r="EF55" s="183">
        <v>17072</v>
      </c>
      <c r="EG55" s="130">
        <v>17101</v>
      </c>
      <c r="EH55" s="130"/>
      <c r="EI55" s="130"/>
      <c r="EJ55" s="130"/>
      <c r="EK55" s="183">
        <v>-671</v>
      </c>
      <c r="EL55" s="183">
        <v>0</v>
      </c>
      <c r="EM55" s="183">
        <v>29</v>
      </c>
      <c r="EN55" s="226">
        <v>-1983</v>
      </c>
      <c r="EO55" s="226">
        <v>53</v>
      </c>
      <c r="EP55" s="226">
        <v>34</v>
      </c>
      <c r="EQ55" s="226">
        <v>-4193</v>
      </c>
      <c r="ER55" s="230">
        <v>0</v>
      </c>
      <c r="ES55" s="230">
        <v>12</v>
      </c>
      <c r="ET55" s="3">
        <v>0</v>
      </c>
      <c r="EU55" s="211">
        <v>-1000</v>
      </c>
      <c r="EV55" s="183">
        <v>50</v>
      </c>
      <c r="EW55" s="183">
        <v>2800</v>
      </c>
      <c r="EX55" s="130">
        <v>771</v>
      </c>
      <c r="EY55" s="183">
        <v>4700</v>
      </c>
      <c r="EZ55" s="3">
        <v>11169</v>
      </c>
      <c r="FA55" s="3">
        <v>7180</v>
      </c>
      <c r="FB55" s="3">
        <v>3989</v>
      </c>
      <c r="FC55" s="3">
        <v>965</v>
      </c>
      <c r="FD55" s="226">
        <v>12488</v>
      </c>
      <c r="FE55" s="183">
        <v>5649</v>
      </c>
      <c r="FF55" s="183">
        <v>6839</v>
      </c>
      <c r="FG55" s="183">
        <v>965</v>
      </c>
      <c r="FH55" s="230">
        <v>16604</v>
      </c>
      <c r="FI55" s="130">
        <v>4293</v>
      </c>
      <c r="FJ55" s="130">
        <v>12311</v>
      </c>
      <c r="FK55" s="130">
        <v>889</v>
      </c>
      <c r="FL55" s="29">
        <v>5179.5388403850457</v>
      </c>
      <c r="FM55" s="139">
        <v>5977.3817683344751</v>
      </c>
      <c r="FN55" s="139">
        <v>7281.5918082383059</v>
      </c>
      <c r="FO55" s="172">
        <f t="shared" si="0"/>
        <v>558.57142857142856</v>
      </c>
      <c r="FP55" s="170">
        <f t="shared" si="1"/>
        <v>129.99102363775393</v>
      </c>
      <c r="FR55" s="175"/>
      <c r="FS55" s="195"/>
      <c r="FV55" s="175">
        <v>2380</v>
      </c>
      <c r="FW55" s="2">
        <f t="shared" si="2"/>
        <v>-2380</v>
      </c>
      <c r="FZ55" s="186"/>
      <c r="GA55" s="2"/>
      <c r="GB55" s="2"/>
    </row>
    <row r="56" spans="1:184" ht="13" x14ac:dyDescent="0.3">
      <c r="A56" s="77">
        <v>176</v>
      </c>
      <c r="B56" s="75" t="s">
        <v>55</v>
      </c>
      <c r="C56" s="179">
        <v>4709</v>
      </c>
      <c r="D56" s="138"/>
      <c r="E56" s="142">
        <v>2.9865047233468287</v>
      </c>
      <c r="F56" s="142">
        <v>16.426512968299711</v>
      </c>
      <c r="G56" s="183">
        <v>147.80208112125717</v>
      </c>
      <c r="H56" s="144"/>
      <c r="I56" s="186"/>
      <c r="K56" s="210">
        <v>81.220164716991036</v>
      </c>
      <c r="L56" s="143">
        <v>1361.8602675727332</v>
      </c>
      <c r="M56" s="146">
        <v>58.192745624502791</v>
      </c>
      <c r="N56" s="143">
        <v>8541.9409641112761</v>
      </c>
      <c r="O56" s="138">
        <v>8123</v>
      </c>
      <c r="P56" s="143">
        <v>6177</v>
      </c>
      <c r="Q56" s="184">
        <v>38135</v>
      </c>
      <c r="R56" s="184">
        <v>-31958</v>
      </c>
      <c r="S56" s="139">
        <v>13654</v>
      </c>
      <c r="T56" s="138">
        <v>20074</v>
      </c>
      <c r="U56" s="151"/>
      <c r="W56" s="183">
        <v>55</v>
      </c>
      <c r="X56" s="183">
        <v>361</v>
      </c>
      <c r="Y56" s="184">
        <v>2186</v>
      </c>
      <c r="Z56" s="130">
        <v>1906</v>
      </c>
      <c r="AA56" s="130">
        <v>0</v>
      </c>
      <c r="AB56" s="131">
        <v>0</v>
      </c>
      <c r="AC56" s="184">
        <v>280</v>
      </c>
      <c r="AD56" s="184">
        <v>121</v>
      </c>
      <c r="AE56" s="184">
        <v>-369</v>
      </c>
      <c r="AF56" s="183">
        <v>0</v>
      </c>
      <c r="AG56" s="183">
        <v>32</v>
      </c>
      <c r="AH56" s="183">
        <v>10200</v>
      </c>
      <c r="AI56" s="183">
        <v>2450</v>
      </c>
      <c r="AJ56" s="167"/>
      <c r="AK56" s="183">
        <v>976</v>
      </c>
      <c r="AL56" s="183">
        <v>-714</v>
      </c>
      <c r="AM56" s="180">
        <v>1300</v>
      </c>
      <c r="AN56" s="139">
        <v>13654</v>
      </c>
      <c r="AO56" s="138">
        <v>10804</v>
      </c>
      <c r="AP56" s="184">
        <v>1646</v>
      </c>
      <c r="AQ56" s="138">
        <v>1204</v>
      </c>
      <c r="AR56" s="109">
        <v>20.75</v>
      </c>
      <c r="AS56" s="144"/>
      <c r="AT56" s="139">
        <v>53</v>
      </c>
      <c r="AU56" s="228">
        <v>4606</v>
      </c>
      <c r="AV56" s="138"/>
      <c r="AW56" s="224">
        <v>3.623166790952026</v>
      </c>
      <c r="AX56" s="225">
        <v>15.224259309933084</v>
      </c>
      <c r="AY56" s="139">
        <v>68.171949630916203</v>
      </c>
      <c r="AZ56" s="144"/>
      <c r="BA56"/>
      <c r="BC56" s="189">
        <v>82.626322289641834</v>
      </c>
      <c r="BD56" s="183">
        <v>1166.5219279201042</v>
      </c>
      <c r="BE56" s="140">
        <v>47.220095348165273</v>
      </c>
      <c r="BF56" s="139">
        <v>9016.9344333478075</v>
      </c>
      <c r="BG56" s="184">
        <v>8054</v>
      </c>
      <c r="BH56" s="216">
        <v>6003</v>
      </c>
      <c r="BI56" s="216">
        <v>38879</v>
      </c>
      <c r="BJ56" s="216">
        <v>-32876</v>
      </c>
      <c r="BK56" s="216">
        <v>13877</v>
      </c>
      <c r="BL56" s="216">
        <v>20319</v>
      </c>
      <c r="BM56" s="151"/>
      <c r="BO56" s="216">
        <v>19</v>
      </c>
      <c r="BP56" s="216">
        <v>460</v>
      </c>
      <c r="BQ56" s="216">
        <v>1799</v>
      </c>
      <c r="BR56" s="216">
        <v>1824</v>
      </c>
      <c r="BS56" s="216">
        <v>0</v>
      </c>
      <c r="BT56" s="216">
        <v>165</v>
      </c>
      <c r="BU56" s="216">
        <v>-190</v>
      </c>
      <c r="BV56" s="184">
        <v>-967</v>
      </c>
      <c r="BW56" s="184">
        <v>1221</v>
      </c>
      <c r="BX56" s="183">
        <v>0</v>
      </c>
      <c r="BY56" s="183">
        <v>64</v>
      </c>
      <c r="BZ56" s="183">
        <v>10263</v>
      </c>
      <c r="CA56" s="183">
        <v>1315</v>
      </c>
      <c r="CB56" s="167"/>
      <c r="CC56" s="183">
        <v>-223</v>
      </c>
      <c r="CD56" s="183">
        <v>-714</v>
      </c>
      <c r="CE56" s="180">
        <v>-371</v>
      </c>
      <c r="CF56" s="139">
        <v>13877</v>
      </c>
      <c r="CG56" s="216">
        <v>10964</v>
      </c>
      <c r="CH56" s="216">
        <v>1703</v>
      </c>
      <c r="CI56" s="216">
        <v>1210</v>
      </c>
      <c r="CJ56" s="212">
        <v>20.75</v>
      </c>
      <c r="CK56" s="144"/>
      <c r="CL56" s="130">
        <v>60</v>
      </c>
      <c r="CM56" s="228">
        <v>4527</v>
      </c>
      <c r="CN56" s="138"/>
      <c r="CO56" s="142">
        <v>4.641200545702592</v>
      </c>
      <c r="CP56" s="142">
        <v>21.430799126742318</v>
      </c>
      <c r="CQ56" s="183">
        <v>-242.54473161033798</v>
      </c>
      <c r="CR56" s="144"/>
      <c r="CS56"/>
      <c r="CU56" s="232">
        <v>76.423377191915748</v>
      </c>
      <c r="CV56" s="143">
        <v>1370.223105809587</v>
      </c>
      <c r="CW56" s="146">
        <v>50.593171102321733</v>
      </c>
      <c r="CX56" s="143">
        <v>9885.3545394300854</v>
      </c>
      <c r="CY56" s="131">
        <v>8188</v>
      </c>
      <c r="CZ56" s="229">
        <v>6003</v>
      </c>
      <c r="DA56" s="229">
        <v>38729</v>
      </c>
      <c r="DB56" s="216">
        <v>-32726</v>
      </c>
      <c r="DC56" s="229">
        <v>14021</v>
      </c>
      <c r="DD56" s="229">
        <v>21659</v>
      </c>
      <c r="DE56" s="151"/>
      <c r="DG56" s="229">
        <v>25</v>
      </c>
      <c r="DH56" s="229">
        <v>404</v>
      </c>
      <c r="DI56" s="229">
        <v>3383</v>
      </c>
      <c r="DJ56" s="229">
        <v>2736</v>
      </c>
      <c r="DK56" s="229">
        <v>0</v>
      </c>
      <c r="DL56" s="229">
        <v>0</v>
      </c>
      <c r="DM56" s="229">
        <v>647</v>
      </c>
      <c r="DN56" s="131">
        <v>884</v>
      </c>
      <c r="DO56" s="131">
        <v>-839</v>
      </c>
      <c r="DP56" s="130">
        <v>0</v>
      </c>
      <c r="DQ56" s="130">
        <v>692</v>
      </c>
      <c r="DR56" s="130">
        <v>10957</v>
      </c>
      <c r="DS56" s="130">
        <v>3832</v>
      </c>
      <c r="DT56" s="167"/>
      <c r="DU56" s="183">
        <v>-571</v>
      </c>
      <c r="DV56" s="183">
        <v>-714</v>
      </c>
      <c r="DW56" s="180">
        <v>-1425</v>
      </c>
      <c r="DX56" s="130">
        <v>14021</v>
      </c>
      <c r="DY56" s="229">
        <v>10958</v>
      </c>
      <c r="DZ56" s="229">
        <v>1933</v>
      </c>
      <c r="EA56" s="229">
        <v>1130</v>
      </c>
      <c r="EB56" s="212">
        <v>20.75</v>
      </c>
      <c r="EC56" s="208"/>
      <c r="ED56" s="183">
        <v>106.404411764705</v>
      </c>
      <c r="EE56" s="3">
        <v>27089</v>
      </c>
      <c r="EF56" s="183">
        <v>27768</v>
      </c>
      <c r="EG56" s="130">
        <v>27551</v>
      </c>
      <c r="EH56" s="130"/>
      <c r="EI56" s="130"/>
      <c r="EJ56" s="130"/>
      <c r="EK56" s="183">
        <v>-1348</v>
      </c>
      <c r="EL56" s="183">
        <v>32</v>
      </c>
      <c r="EM56" s="183">
        <v>166</v>
      </c>
      <c r="EN56" s="226">
        <v>-1899</v>
      </c>
      <c r="EO56" s="226">
        <v>0</v>
      </c>
      <c r="EP56" s="226">
        <v>213</v>
      </c>
      <c r="EQ56" s="226">
        <v>-5288</v>
      </c>
      <c r="ER56" s="230">
        <v>0</v>
      </c>
      <c r="ES56" s="230">
        <v>31</v>
      </c>
      <c r="ET56" s="3">
        <v>0</v>
      </c>
      <c r="EU56" s="211">
        <v>0</v>
      </c>
      <c r="EV56" s="183">
        <v>0</v>
      </c>
      <c r="EW56" s="183">
        <v>0</v>
      </c>
      <c r="EX56" s="130">
        <v>0</v>
      </c>
      <c r="EY56" s="183">
        <v>3000</v>
      </c>
      <c r="EZ56" s="3">
        <v>3928</v>
      </c>
      <c r="FA56" s="3">
        <v>3214</v>
      </c>
      <c r="FB56" s="3">
        <v>714</v>
      </c>
      <c r="FC56" s="3">
        <v>2880</v>
      </c>
      <c r="FD56" s="226">
        <v>3214</v>
      </c>
      <c r="FE56" s="183">
        <v>2500</v>
      </c>
      <c r="FF56" s="183">
        <v>714</v>
      </c>
      <c r="FG56" s="183">
        <v>2880</v>
      </c>
      <c r="FH56" s="230">
        <v>5500</v>
      </c>
      <c r="FI56" s="130">
        <v>1786</v>
      </c>
      <c r="FJ56" s="130">
        <v>3714</v>
      </c>
      <c r="FK56" s="130">
        <v>2861</v>
      </c>
      <c r="FL56" s="29">
        <v>2344.2344446803995</v>
      </c>
      <c r="FM56" s="139">
        <v>2359.0968302214505</v>
      </c>
      <c r="FN56" s="139">
        <v>3161.4755908990501</v>
      </c>
      <c r="FO56" s="172">
        <f t="shared" si="0"/>
        <v>528.09638554216872</v>
      </c>
      <c r="FP56" s="170">
        <f t="shared" si="1"/>
        <v>116.65482340229042</v>
      </c>
      <c r="FR56" s="175"/>
      <c r="FS56" s="195"/>
      <c r="FV56" s="175">
        <v>0</v>
      </c>
      <c r="FW56" s="2">
        <f t="shared" si="2"/>
        <v>0</v>
      </c>
      <c r="FZ56" s="186"/>
      <c r="GA56" s="2"/>
      <c r="GB56" s="2"/>
    </row>
    <row r="57" spans="1:184" ht="13" x14ac:dyDescent="0.3">
      <c r="A57" s="77">
        <v>177</v>
      </c>
      <c r="B57" s="75" t="s">
        <v>56</v>
      </c>
      <c r="C57" s="179">
        <v>1884</v>
      </c>
      <c r="D57" s="138"/>
      <c r="E57" s="142">
        <v>0.86577181208053688</v>
      </c>
      <c r="F57" s="142">
        <v>37.367698149793974</v>
      </c>
      <c r="G57" s="183">
        <v>-1824.84076433121</v>
      </c>
      <c r="H57" s="144"/>
      <c r="I57" s="186"/>
      <c r="K57" s="210">
        <v>65.774533657745337</v>
      </c>
      <c r="L57" s="143">
        <v>359.34182590233542</v>
      </c>
      <c r="M57" s="146">
        <v>18.981794438469812</v>
      </c>
      <c r="N57" s="143">
        <v>6909.7664543524415</v>
      </c>
      <c r="O57" s="138">
        <v>3113</v>
      </c>
      <c r="P57" s="143">
        <v>1227</v>
      </c>
      <c r="Q57" s="184">
        <v>12117</v>
      </c>
      <c r="R57" s="184">
        <v>-10890</v>
      </c>
      <c r="S57" s="139">
        <v>6911</v>
      </c>
      <c r="T57" s="138">
        <v>4239</v>
      </c>
      <c r="U57" s="151"/>
      <c r="W57" s="183">
        <v>-13</v>
      </c>
      <c r="X57" s="183">
        <v>106</v>
      </c>
      <c r="Y57" s="184">
        <v>353</v>
      </c>
      <c r="Z57" s="130">
        <v>513</v>
      </c>
      <c r="AA57" s="131">
        <v>0</v>
      </c>
      <c r="AB57" s="130">
        <v>0</v>
      </c>
      <c r="AC57" s="184">
        <v>-160</v>
      </c>
      <c r="AD57" s="184">
        <v>11</v>
      </c>
      <c r="AE57" s="183">
        <v>0</v>
      </c>
      <c r="AF57" s="183">
        <v>0</v>
      </c>
      <c r="AG57" s="183">
        <v>-149</v>
      </c>
      <c r="AH57" s="183">
        <v>2128</v>
      </c>
      <c r="AI57" s="183">
        <v>353</v>
      </c>
      <c r="AJ57" s="167"/>
      <c r="AK57" s="183">
        <v>-167</v>
      </c>
      <c r="AL57" s="183">
        <v>-413</v>
      </c>
      <c r="AM57" s="180">
        <v>14</v>
      </c>
      <c r="AN57" s="139">
        <v>6911</v>
      </c>
      <c r="AO57" s="138">
        <v>5424</v>
      </c>
      <c r="AP57" s="184">
        <v>1003</v>
      </c>
      <c r="AQ57" s="138">
        <v>484</v>
      </c>
      <c r="AR57" s="109">
        <v>21</v>
      </c>
      <c r="AS57" s="144"/>
      <c r="AT57" s="139">
        <v>176</v>
      </c>
      <c r="AU57" s="228">
        <v>1844</v>
      </c>
      <c r="AV57" s="138"/>
      <c r="AW57" s="224">
        <v>1.7258566978193146</v>
      </c>
      <c r="AX57" s="225">
        <v>36.071178801771701</v>
      </c>
      <c r="AY57" s="139">
        <v>-1814.5336225596529</v>
      </c>
      <c r="AZ57" s="144"/>
      <c r="BA57"/>
      <c r="BC57" s="189">
        <v>66.380492027992204</v>
      </c>
      <c r="BD57" s="183">
        <v>375.81344902386115</v>
      </c>
      <c r="BE57" s="140">
        <v>19.646213592233011</v>
      </c>
      <c r="BF57" s="139">
        <v>6982.1041214750539</v>
      </c>
      <c r="BG57" s="184">
        <v>3125</v>
      </c>
      <c r="BH57" s="216">
        <v>1297</v>
      </c>
      <c r="BI57" s="216">
        <v>12059</v>
      </c>
      <c r="BJ57" s="216">
        <v>-10762</v>
      </c>
      <c r="BK57" s="216">
        <v>7159</v>
      </c>
      <c r="BL57" s="216">
        <v>4413</v>
      </c>
      <c r="BM57" s="151"/>
      <c r="BO57" s="216">
        <v>-32</v>
      </c>
      <c r="BP57" s="216">
        <v>21</v>
      </c>
      <c r="BQ57" s="216">
        <v>799</v>
      </c>
      <c r="BR57" s="216">
        <v>517</v>
      </c>
      <c r="BS57" s="216">
        <v>0</v>
      </c>
      <c r="BT57" s="216">
        <v>0</v>
      </c>
      <c r="BU57" s="216">
        <v>282</v>
      </c>
      <c r="BV57" s="184">
        <v>10</v>
      </c>
      <c r="BW57" s="183">
        <v>0</v>
      </c>
      <c r="BX57" s="183">
        <v>0</v>
      </c>
      <c r="BY57" s="183">
        <v>292</v>
      </c>
      <c r="BZ57" s="183">
        <v>2419</v>
      </c>
      <c r="CA57" s="183">
        <v>799</v>
      </c>
      <c r="CB57" s="167"/>
      <c r="CC57" s="183">
        <v>-93</v>
      </c>
      <c r="CD57" s="183">
        <v>-13</v>
      </c>
      <c r="CE57" s="180">
        <v>88</v>
      </c>
      <c r="CF57" s="139">
        <v>7159</v>
      </c>
      <c r="CG57" s="216">
        <v>5542</v>
      </c>
      <c r="CH57" s="216">
        <v>1114</v>
      </c>
      <c r="CI57" s="216">
        <v>503</v>
      </c>
      <c r="CJ57" s="212">
        <v>21</v>
      </c>
      <c r="CK57" s="144"/>
      <c r="CL57" s="130">
        <v>48</v>
      </c>
      <c r="CM57" s="228">
        <v>1800</v>
      </c>
      <c r="CN57" s="138"/>
      <c r="CO57" s="142">
        <v>27.65909090909091</v>
      </c>
      <c r="CP57" s="142">
        <v>32.14682157922001</v>
      </c>
      <c r="CQ57" s="183">
        <v>-1302.7777777777778</v>
      </c>
      <c r="CR57" s="144"/>
      <c r="CS57"/>
      <c r="CU57" s="232">
        <v>68.347359257109687</v>
      </c>
      <c r="CV57" s="143">
        <v>916.66666666666663</v>
      </c>
      <c r="CW57" s="146">
        <v>47.767290609137056</v>
      </c>
      <c r="CX57" s="143">
        <v>7004.4444444444443</v>
      </c>
      <c r="CY57" s="131">
        <v>3062</v>
      </c>
      <c r="CZ57" s="229">
        <v>1401</v>
      </c>
      <c r="DA57" s="229">
        <v>12362</v>
      </c>
      <c r="DB57" s="216">
        <v>-10961</v>
      </c>
      <c r="DC57" s="229">
        <v>7135</v>
      </c>
      <c r="DD57" s="229">
        <v>4977</v>
      </c>
      <c r="DE57" s="151"/>
      <c r="DG57" s="229">
        <v>-31</v>
      </c>
      <c r="DH57" s="229">
        <v>66</v>
      </c>
      <c r="DI57" s="229">
        <v>1186</v>
      </c>
      <c r="DJ57" s="229">
        <v>967</v>
      </c>
      <c r="DK57" s="229">
        <v>0</v>
      </c>
      <c r="DL57" s="229">
        <v>0</v>
      </c>
      <c r="DM57" s="229">
        <v>219</v>
      </c>
      <c r="DN57" s="131">
        <v>11</v>
      </c>
      <c r="DO57" s="130">
        <v>0</v>
      </c>
      <c r="DP57" s="130">
        <v>0</v>
      </c>
      <c r="DQ57" s="130">
        <v>230</v>
      </c>
      <c r="DR57" s="130">
        <v>2651</v>
      </c>
      <c r="DS57" s="130">
        <v>1186</v>
      </c>
      <c r="DT57" s="167"/>
      <c r="DU57" s="183">
        <v>255</v>
      </c>
      <c r="DV57" s="183">
        <v>-13</v>
      </c>
      <c r="DW57" s="180">
        <v>993</v>
      </c>
      <c r="DX57" s="130">
        <v>7135</v>
      </c>
      <c r="DY57" s="229">
        <v>5452</v>
      </c>
      <c r="DZ57" s="229">
        <v>1196</v>
      </c>
      <c r="EA57" s="229">
        <v>487</v>
      </c>
      <c r="EB57" s="212">
        <v>21</v>
      </c>
      <c r="EC57" s="208"/>
      <c r="ED57" s="183">
        <v>154.75735294117601</v>
      </c>
      <c r="EE57" s="3">
        <v>7931</v>
      </c>
      <c r="EF57" s="183">
        <v>7889</v>
      </c>
      <c r="EG57" s="130">
        <v>8235</v>
      </c>
      <c r="EH57" s="130"/>
      <c r="EI57" s="130"/>
      <c r="EJ57" s="130"/>
      <c r="EK57" s="183">
        <v>-467</v>
      </c>
      <c r="EL57" s="183">
        <v>128</v>
      </c>
      <c r="EM57" s="183">
        <v>0</v>
      </c>
      <c r="EN57" s="226">
        <v>-711</v>
      </c>
      <c r="EO57" s="226">
        <v>0</v>
      </c>
      <c r="EP57" s="226">
        <v>0</v>
      </c>
      <c r="EQ57" s="226">
        <v>-193</v>
      </c>
      <c r="ER57" s="230">
        <v>0</v>
      </c>
      <c r="ES57" s="230">
        <v>0</v>
      </c>
      <c r="ET57" s="3">
        <v>0</v>
      </c>
      <c r="EU57" s="211">
        <v>315</v>
      </c>
      <c r="EV57" s="183">
        <v>447</v>
      </c>
      <c r="EW57" s="183">
        <v>-400</v>
      </c>
      <c r="EX57" s="130">
        <v>0</v>
      </c>
      <c r="EY57" s="183">
        <v>0</v>
      </c>
      <c r="EZ57" s="3">
        <v>3176</v>
      </c>
      <c r="FA57" s="3">
        <v>1863</v>
      </c>
      <c r="FB57" s="3">
        <v>1313</v>
      </c>
      <c r="FC57" s="3">
        <v>67</v>
      </c>
      <c r="FD57" s="226">
        <v>3210</v>
      </c>
      <c r="FE57" s="183">
        <v>2297</v>
      </c>
      <c r="FF57" s="183">
        <v>913</v>
      </c>
      <c r="FG57" s="183">
        <v>63</v>
      </c>
      <c r="FH57" s="230">
        <v>3197</v>
      </c>
      <c r="FI57" s="130">
        <v>1284</v>
      </c>
      <c r="FJ57" s="130">
        <v>1913</v>
      </c>
      <c r="FK57" s="130">
        <v>59</v>
      </c>
      <c r="FL57" s="29">
        <v>3399.6815286624201</v>
      </c>
      <c r="FM57" s="139">
        <v>3667.5704989154015</v>
      </c>
      <c r="FN57" s="139">
        <v>3953.333333333333</v>
      </c>
      <c r="FO57" s="172">
        <f t="shared" si="0"/>
        <v>259.61904761904759</v>
      </c>
      <c r="FP57" s="170">
        <f t="shared" si="1"/>
        <v>144.2328042328042</v>
      </c>
      <c r="FR57" s="175"/>
      <c r="FS57" s="195"/>
      <c r="FV57" s="175">
        <v>532</v>
      </c>
      <c r="FW57" s="2">
        <f t="shared" si="2"/>
        <v>-532</v>
      </c>
      <c r="FZ57" s="186"/>
      <c r="GA57" s="2"/>
      <c r="GB57" s="2"/>
    </row>
    <row r="58" spans="1:184" ht="13" x14ac:dyDescent="0.3">
      <c r="A58" s="77">
        <v>178</v>
      </c>
      <c r="B58" s="75" t="s">
        <v>57</v>
      </c>
      <c r="C58" s="179">
        <v>6225</v>
      </c>
      <c r="D58" s="138"/>
      <c r="E58" s="142">
        <v>0.87818003913894327</v>
      </c>
      <c r="F58" s="142">
        <v>52.713144165364213</v>
      </c>
      <c r="G58" s="183">
        <v>-3486.4257028112447</v>
      </c>
      <c r="H58" s="144"/>
      <c r="I58" s="186"/>
      <c r="K58" s="210">
        <v>65.43216951532257</v>
      </c>
      <c r="L58" s="143">
        <v>91.566265060240966</v>
      </c>
      <c r="M58" s="146">
        <v>4.1508718726307814</v>
      </c>
      <c r="N58" s="143">
        <v>8051.726907630522</v>
      </c>
      <c r="O58" s="138">
        <v>8170</v>
      </c>
      <c r="P58" s="143">
        <v>4397</v>
      </c>
      <c r="Q58" s="184">
        <v>44114</v>
      </c>
      <c r="R58" s="184">
        <v>-39717</v>
      </c>
      <c r="S58" s="139">
        <v>19482</v>
      </c>
      <c r="T58" s="138">
        <v>21548</v>
      </c>
      <c r="U58" s="151"/>
      <c r="W58" s="183">
        <v>-85</v>
      </c>
      <c r="X58" s="183">
        <v>480</v>
      </c>
      <c r="Y58" s="184">
        <v>1708</v>
      </c>
      <c r="Z58" s="130">
        <v>1740</v>
      </c>
      <c r="AA58" s="131">
        <v>0</v>
      </c>
      <c r="AB58" s="131">
        <v>131</v>
      </c>
      <c r="AC58" s="184">
        <v>-163</v>
      </c>
      <c r="AD58" s="184">
        <v>10</v>
      </c>
      <c r="AE58" s="183">
        <v>0</v>
      </c>
      <c r="AF58" s="183">
        <v>0</v>
      </c>
      <c r="AG58" s="183">
        <v>-153</v>
      </c>
      <c r="AH58" s="183">
        <v>5080</v>
      </c>
      <c r="AI58" s="183">
        <v>1567</v>
      </c>
      <c r="AJ58" s="167"/>
      <c r="AK58" s="183">
        <v>-266</v>
      </c>
      <c r="AL58" s="183">
        <v>-1957</v>
      </c>
      <c r="AM58" s="180">
        <v>-2271</v>
      </c>
      <c r="AN58" s="139">
        <v>19482</v>
      </c>
      <c r="AO58" s="138">
        <v>15564</v>
      </c>
      <c r="AP58" s="184">
        <v>2405</v>
      </c>
      <c r="AQ58" s="138">
        <v>1513</v>
      </c>
      <c r="AR58" s="109">
        <v>20.75</v>
      </c>
      <c r="AS58" s="144"/>
      <c r="AT58" s="139">
        <v>122</v>
      </c>
      <c r="AU58" s="228">
        <v>6116</v>
      </c>
      <c r="AV58" s="138"/>
      <c r="AW58" s="224">
        <v>0.39921999645452932</v>
      </c>
      <c r="AX58" s="225">
        <v>54.320227067702263</v>
      </c>
      <c r="AY58" s="139">
        <v>-3712.393721386527</v>
      </c>
      <c r="AZ58" s="144"/>
      <c r="BA58"/>
      <c r="BC58" s="189">
        <v>64.351427261263325</v>
      </c>
      <c r="BD58" s="183">
        <v>138.81621975147155</v>
      </c>
      <c r="BE58" s="140">
        <v>6.1336645421796447</v>
      </c>
      <c r="BF58" s="139">
        <v>8260.6278613472859</v>
      </c>
      <c r="BG58" s="184">
        <v>8124</v>
      </c>
      <c r="BH58" s="216">
        <v>4440</v>
      </c>
      <c r="BI58" s="216">
        <v>44986</v>
      </c>
      <c r="BJ58" s="216">
        <v>-40546</v>
      </c>
      <c r="BK58" s="216">
        <v>19813</v>
      </c>
      <c r="BL58" s="216">
        <v>21196</v>
      </c>
      <c r="BM58" s="151"/>
      <c r="BO58" s="216">
        <v>-90</v>
      </c>
      <c r="BP58" s="216">
        <v>662</v>
      </c>
      <c r="BQ58" s="216">
        <v>1035</v>
      </c>
      <c r="BR58" s="216">
        <v>1811</v>
      </c>
      <c r="BS58" s="216">
        <v>12</v>
      </c>
      <c r="BT58" s="216">
        <v>0</v>
      </c>
      <c r="BU58" s="216">
        <v>-764</v>
      </c>
      <c r="BV58" s="184">
        <v>-461</v>
      </c>
      <c r="BW58" s="183">
        <v>475</v>
      </c>
      <c r="BX58" s="183">
        <v>0</v>
      </c>
      <c r="BY58" s="183">
        <v>-750</v>
      </c>
      <c r="BZ58" s="183">
        <v>4330</v>
      </c>
      <c r="CA58" s="183">
        <v>1848</v>
      </c>
      <c r="CB58" s="167"/>
      <c r="CC58" s="183">
        <v>588</v>
      </c>
      <c r="CD58" s="183">
        <v>-2113</v>
      </c>
      <c r="CE58" s="180">
        <v>-1000</v>
      </c>
      <c r="CF58" s="139">
        <v>19813</v>
      </c>
      <c r="CG58" s="216">
        <v>15734</v>
      </c>
      <c r="CH58" s="216">
        <v>2553</v>
      </c>
      <c r="CI58" s="216">
        <v>1526</v>
      </c>
      <c r="CJ58" s="212">
        <v>20.75</v>
      </c>
      <c r="CK58" s="144"/>
      <c r="CL58" s="130">
        <v>139</v>
      </c>
      <c r="CM58" s="228">
        <v>5932</v>
      </c>
      <c r="CN58" s="138"/>
      <c r="CO58" s="142">
        <v>2.4263181613339344</v>
      </c>
      <c r="CP58" s="142">
        <v>53.82728065372995</v>
      </c>
      <c r="CQ58" s="183">
        <v>-3519.0492245448418</v>
      </c>
      <c r="CR58" s="144"/>
      <c r="CS58"/>
      <c r="CU58" s="232">
        <v>62.802698936155537</v>
      </c>
      <c r="CV58" s="143">
        <v>513.48617666891437</v>
      </c>
      <c r="CW58" s="146">
        <v>21.696426829030308</v>
      </c>
      <c r="CX58" s="143">
        <v>8638.4018880647345</v>
      </c>
      <c r="CY58" s="131">
        <v>7750</v>
      </c>
      <c r="CZ58" s="229">
        <v>4466</v>
      </c>
      <c r="DA58" s="229">
        <v>44690</v>
      </c>
      <c r="DB58" s="216">
        <v>-40224</v>
      </c>
      <c r="DC58" s="229">
        <v>20217</v>
      </c>
      <c r="DD58" s="229">
        <v>24634</v>
      </c>
      <c r="DE58" s="151"/>
      <c r="DG58" s="229">
        <v>-72</v>
      </c>
      <c r="DH58" s="229">
        <v>756</v>
      </c>
      <c r="DI58" s="229">
        <v>5311</v>
      </c>
      <c r="DJ58" s="229">
        <v>4703</v>
      </c>
      <c r="DK58" s="229">
        <v>0</v>
      </c>
      <c r="DL58" s="229">
        <v>0</v>
      </c>
      <c r="DM58" s="229">
        <v>608</v>
      </c>
      <c r="DN58" s="131">
        <v>143</v>
      </c>
      <c r="DO58" s="130">
        <v>0</v>
      </c>
      <c r="DP58" s="130">
        <v>0</v>
      </c>
      <c r="DQ58" s="130">
        <v>751</v>
      </c>
      <c r="DR58" s="130">
        <v>5081</v>
      </c>
      <c r="DS58" s="130">
        <v>5543</v>
      </c>
      <c r="DT58" s="167"/>
      <c r="DU58" s="183">
        <v>-1491</v>
      </c>
      <c r="DV58" s="183">
        <v>-2146</v>
      </c>
      <c r="DW58" s="180">
        <v>1832</v>
      </c>
      <c r="DX58" s="130">
        <v>20217</v>
      </c>
      <c r="DY58" s="229">
        <v>15868</v>
      </c>
      <c r="DZ58" s="229">
        <v>2957</v>
      </c>
      <c r="EA58" s="229">
        <v>1392</v>
      </c>
      <c r="EB58" s="212">
        <v>20.75</v>
      </c>
      <c r="EC58" s="208"/>
      <c r="ED58" s="183">
        <v>61.073529411764703</v>
      </c>
      <c r="EE58" s="3">
        <v>34031</v>
      </c>
      <c r="EF58" s="183">
        <v>34179</v>
      </c>
      <c r="EG58" s="130">
        <v>35155</v>
      </c>
      <c r="EH58" s="130"/>
      <c r="EI58" s="130"/>
      <c r="EJ58" s="130">
        <v>640</v>
      </c>
      <c r="EK58" s="183">
        <v>-3957</v>
      </c>
      <c r="EL58" s="183">
        <v>0</v>
      </c>
      <c r="EM58" s="183">
        <v>119</v>
      </c>
      <c r="EN58" s="226">
        <v>-3325</v>
      </c>
      <c r="EO58" s="226">
        <v>225</v>
      </c>
      <c r="EP58" s="226">
        <v>252</v>
      </c>
      <c r="EQ58" s="226">
        <v>-4308</v>
      </c>
      <c r="ER58" s="230">
        <v>525</v>
      </c>
      <c r="ES58" s="230">
        <v>72</v>
      </c>
      <c r="ET58" s="3">
        <v>0</v>
      </c>
      <c r="EU58" s="211">
        <v>1500</v>
      </c>
      <c r="EV58" s="183">
        <v>3500</v>
      </c>
      <c r="EW58" s="183">
        <v>0</v>
      </c>
      <c r="EX58" s="130">
        <v>2000</v>
      </c>
      <c r="EY58" s="183">
        <v>1000</v>
      </c>
      <c r="EZ58" s="3">
        <v>19200</v>
      </c>
      <c r="FA58" s="3">
        <v>9262</v>
      </c>
      <c r="FB58" s="3">
        <v>9938</v>
      </c>
      <c r="FC58" s="3">
        <v>1037</v>
      </c>
      <c r="FD58" s="226">
        <v>20587</v>
      </c>
      <c r="FE58" s="183">
        <v>10441</v>
      </c>
      <c r="FF58" s="183">
        <v>10146</v>
      </c>
      <c r="FG58" s="183">
        <v>1037</v>
      </c>
      <c r="FH58" s="230">
        <v>21442</v>
      </c>
      <c r="FI58" s="130">
        <v>10667</v>
      </c>
      <c r="FJ58" s="130">
        <v>10775</v>
      </c>
      <c r="FK58" s="130">
        <v>1037</v>
      </c>
      <c r="FL58" s="29">
        <v>5124.9799196787153</v>
      </c>
      <c r="FM58" s="139">
        <v>5626.7168083714841</v>
      </c>
      <c r="FN58" s="139">
        <v>5859.2380310182061</v>
      </c>
      <c r="FO58" s="172">
        <f t="shared" si="0"/>
        <v>764.72289156626505</v>
      </c>
      <c r="FP58" s="170">
        <f t="shared" si="1"/>
        <v>128.91485023032115</v>
      </c>
      <c r="FR58" s="175"/>
      <c r="FS58" s="195"/>
      <c r="FV58" s="175">
        <v>941</v>
      </c>
      <c r="FW58" s="2">
        <f t="shared" si="2"/>
        <v>-941</v>
      </c>
      <c r="FZ58" s="186"/>
      <c r="GA58" s="2"/>
      <c r="GB58" s="2"/>
    </row>
    <row r="59" spans="1:184" ht="13" x14ac:dyDescent="0.3">
      <c r="A59" s="77">
        <v>179</v>
      </c>
      <c r="B59" s="75" t="s">
        <v>58</v>
      </c>
      <c r="C59" s="179">
        <v>141305</v>
      </c>
      <c r="D59" s="138"/>
      <c r="E59" s="142">
        <v>1.7032210246749637</v>
      </c>
      <c r="F59" s="142">
        <v>54.372574655409821</v>
      </c>
      <c r="G59" s="183">
        <v>-3051.5905311206257</v>
      </c>
      <c r="H59" s="144"/>
      <c r="I59" s="186"/>
      <c r="K59" s="210">
        <v>50.414850764071559</v>
      </c>
      <c r="L59" s="143">
        <v>47.68408761190333</v>
      </c>
      <c r="M59" s="146">
        <v>2.6522295219156158</v>
      </c>
      <c r="N59" s="143">
        <v>6562.2872509819181</v>
      </c>
      <c r="O59" s="138">
        <v>340413</v>
      </c>
      <c r="P59" s="143">
        <v>175549</v>
      </c>
      <c r="Q59" s="184">
        <v>827099</v>
      </c>
      <c r="R59" s="184">
        <v>-651550</v>
      </c>
      <c r="S59" s="139">
        <v>513761</v>
      </c>
      <c r="T59" s="138">
        <v>173454</v>
      </c>
      <c r="U59" s="151"/>
      <c r="W59" s="183">
        <v>2845</v>
      </c>
      <c r="X59" s="183">
        <v>10542</v>
      </c>
      <c r="Y59" s="184">
        <v>49052</v>
      </c>
      <c r="Z59" s="130">
        <v>49087</v>
      </c>
      <c r="AA59" s="131">
        <v>0</v>
      </c>
      <c r="AB59" s="130">
        <v>0</v>
      </c>
      <c r="AC59" s="184">
        <v>-35</v>
      </c>
      <c r="AD59" s="184">
        <v>340</v>
      </c>
      <c r="AE59" s="183">
        <v>0</v>
      </c>
      <c r="AF59" s="184">
        <v>-5</v>
      </c>
      <c r="AG59" s="183">
        <v>300</v>
      </c>
      <c r="AH59" s="183">
        <v>51010</v>
      </c>
      <c r="AI59" s="183">
        <v>32590</v>
      </c>
      <c r="AJ59" s="167"/>
      <c r="AK59" s="183">
        <v>1719</v>
      </c>
      <c r="AL59" s="183">
        <v>-26281</v>
      </c>
      <c r="AM59" s="180">
        <v>-14819</v>
      </c>
      <c r="AN59" s="139">
        <v>513761</v>
      </c>
      <c r="AO59" s="138">
        <v>438821</v>
      </c>
      <c r="AP59" s="184">
        <v>25942</v>
      </c>
      <c r="AQ59" s="138">
        <v>48998</v>
      </c>
      <c r="AR59" s="109">
        <v>20</v>
      </c>
      <c r="AS59" s="144"/>
      <c r="AT59" s="139">
        <v>96</v>
      </c>
      <c r="AU59" s="228">
        <v>142400</v>
      </c>
      <c r="AV59" s="138"/>
      <c r="AW59" s="224">
        <v>0.45001997733184385</v>
      </c>
      <c r="AX59" s="225">
        <v>58.369722259406117</v>
      </c>
      <c r="AY59" s="139">
        <v>-3323.946629213483</v>
      </c>
      <c r="AZ59" s="144"/>
      <c r="BA59"/>
      <c r="BC59" s="189">
        <v>46.823262432688267</v>
      </c>
      <c r="BD59" s="183">
        <v>17.20505617977528</v>
      </c>
      <c r="BE59" s="140">
        <v>0.93535902933946968</v>
      </c>
      <c r="BF59" s="139">
        <v>6713.8342696629215</v>
      </c>
      <c r="BG59" s="184">
        <v>355050</v>
      </c>
      <c r="BH59" s="216">
        <v>168753</v>
      </c>
      <c r="BI59" s="216">
        <v>855710</v>
      </c>
      <c r="BJ59" s="216">
        <v>-686957</v>
      </c>
      <c r="BK59" s="216">
        <v>524204</v>
      </c>
      <c r="BL59" s="216">
        <v>173607</v>
      </c>
      <c r="BM59" s="151"/>
      <c r="BO59" s="216">
        <v>3631</v>
      </c>
      <c r="BP59" s="216">
        <v>7722</v>
      </c>
      <c r="BQ59" s="216">
        <v>22207</v>
      </c>
      <c r="BR59" s="216">
        <v>53776</v>
      </c>
      <c r="BS59" s="216">
        <v>0</v>
      </c>
      <c r="BT59" s="216">
        <v>0</v>
      </c>
      <c r="BU59" s="216">
        <v>-31569</v>
      </c>
      <c r="BV59" s="184">
        <v>340</v>
      </c>
      <c r="BW59" s="183">
        <v>0</v>
      </c>
      <c r="BX59" s="184">
        <v>75</v>
      </c>
      <c r="BY59" s="183">
        <v>-31154</v>
      </c>
      <c r="BZ59" s="183">
        <v>19856</v>
      </c>
      <c r="CA59" s="183">
        <v>12604</v>
      </c>
      <c r="CB59" s="167"/>
      <c r="CC59" s="183">
        <v>1131</v>
      </c>
      <c r="CD59" s="183">
        <v>-26686</v>
      </c>
      <c r="CE59" s="180">
        <v>-42549</v>
      </c>
      <c r="CF59" s="139">
        <v>524204</v>
      </c>
      <c r="CG59" s="216">
        <v>448187</v>
      </c>
      <c r="CH59" s="216">
        <v>26652</v>
      </c>
      <c r="CI59" s="216">
        <v>49365</v>
      </c>
      <c r="CJ59" s="212">
        <v>20</v>
      </c>
      <c r="CK59" s="144"/>
      <c r="CL59" s="130">
        <v>152</v>
      </c>
      <c r="CM59" s="228">
        <v>143420</v>
      </c>
      <c r="CN59" s="138"/>
      <c r="CO59" s="142">
        <v>2.0788553601204884</v>
      </c>
      <c r="CP59" s="142">
        <v>52.184163734241878</v>
      </c>
      <c r="CQ59" s="183">
        <v>-3237.8259656951609</v>
      </c>
      <c r="CR59" s="144"/>
      <c r="CS59"/>
      <c r="CU59" s="232">
        <v>48.484075900693803</v>
      </c>
      <c r="CV59" s="143">
        <v>3.6047970994282528</v>
      </c>
      <c r="CW59" s="146">
        <v>0.19253333278918006</v>
      </c>
      <c r="CX59" s="143">
        <v>6833.8864872402737</v>
      </c>
      <c r="CY59" s="131">
        <v>366064</v>
      </c>
      <c r="CZ59" s="229">
        <v>159297</v>
      </c>
      <c r="DA59" s="229">
        <v>878285</v>
      </c>
      <c r="DB59" s="216">
        <v>-718988</v>
      </c>
      <c r="DC59" s="229">
        <v>549126</v>
      </c>
      <c r="DD59" s="229">
        <v>230220</v>
      </c>
      <c r="DE59" s="151"/>
      <c r="DG59" s="229">
        <v>3554</v>
      </c>
      <c r="DH59" s="229">
        <v>7888</v>
      </c>
      <c r="DI59" s="229">
        <v>71800</v>
      </c>
      <c r="DJ59" s="229">
        <v>55716</v>
      </c>
      <c r="DK59" s="229">
        <v>0</v>
      </c>
      <c r="DL59" s="229">
        <v>0</v>
      </c>
      <c r="DM59" s="229">
        <v>16084</v>
      </c>
      <c r="DN59" s="131">
        <v>340</v>
      </c>
      <c r="DO59" s="130">
        <v>0</v>
      </c>
      <c r="DP59" s="131">
        <v>-16</v>
      </c>
      <c r="DQ59" s="130">
        <v>16408</v>
      </c>
      <c r="DR59" s="130">
        <v>36040</v>
      </c>
      <c r="DS59" s="130">
        <v>64148</v>
      </c>
      <c r="DT59" s="167"/>
      <c r="DU59" s="183">
        <v>5206</v>
      </c>
      <c r="DV59" s="183">
        <v>-31686</v>
      </c>
      <c r="DW59" s="180">
        <v>10049</v>
      </c>
      <c r="DX59" s="130">
        <v>549126</v>
      </c>
      <c r="DY59" s="229">
        <v>472627</v>
      </c>
      <c r="DZ59" s="229">
        <v>29183</v>
      </c>
      <c r="EA59" s="229">
        <v>47316</v>
      </c>
      <c r="EB59" s="212">
        <v>20</v>
      </c>
      <c r="EC59" s="208"/>
      <c r="ED59" s="183">
        <v>227.28676470588201</v>
      </c>
      <c r="EE59" s="3">
        <v>351647</v>
      </c>
      <c r="EF59" s="183">
        <v>363032</v>
      </c>
      <c r="EG59" s="130">
        <v>370285</v>
      </c>
      <c r="EH59" s="130"/>
      <c r="EI59" s="130"/>
      <c r="EJ59" s="130"/>
      <c r="EK59" s="183">
        <v>-67501</v>
      </c>
      <c r="EL59" s="183">
        <v>1674</v>
      </c>
      <c r="EM59" s="183">
        <v>18418</v>
      </c>
      <c r="EN59" s="226">
        <v>-68107</v>
      </c>
      <c r="EO59" s="226">
        <v>1059</v>
      </c>
      <c r="EP59" s="226">
        <v>11895</v>
      </c>
      <c r="EQ59" s="226">
        <v>-64563</v>
      </c>
      <c r="ER59" s="230">
        <v>594</v>
      </c>
      <c r="ES59" s="230">
        <v>9870</v>
      </c>
      <c r="ET59" s="3">
        <v>20000</v>
      </c>
      <c r="EU59" s="211">
        <v>-18421</v>
      </c>
      <c r="EV59" s="183">
        <v>23000</v>
      </c>
      <c r="EW59" s="183">
        <v>69578</v>
      </c>
      <c r="EX59" s="130">
        <v>50000</v>
      </c>
      <c r="EY59" s="183">
        <v>-42458</v>
      </c>
      <c r="EZ59" s="3">
        <v>341144</v>
      </c>
      <c r="FA59" s="3">
        <v>242386</v>
      </c>
      <c r="FB59" s="3">
        <v>98758</v>
      </c>
      <c r="FC59" s="3">
        <v>158852</v>
      </c>
      <c r="FD59" s="226">
        <v>407036</v>
      </c>
      <c r="FE59" s="183">
        <v>233700</v>
      </c>
      <c r="FF59" s="183">
        <v>173336</v>
      </c>
      <c r="FG59" s="183">
        <v>7797</v>
      </c>
      <c r="FH59" s="230">
        <v>382892</v>
      </c>
      <c r="FI59" s="130">
        <v>221112</v>
      </c>
      <c r="FJ59" s="130">
        <v>161780</v>
      </c>
      <c r="FK59" s="130">
        <v>157212</v>
      </c>
      <c r="FL59" s="29">
        <v>7781.7699302926294</v>
      </c>
      <c r="FM59" s="139">
        <v>8539.0028089887637</v>
      </c>
      <c r="FN59" s="139">
        <v>8552.4055222423649</v>
      </c>
      <c r="FO59" s="172">
        <f t="shared" si="0"/>
        <v>23631.35</v>
      </c>
      <c r="FP59" s="170">
        <f t="shared" si="1"/>
        <v>164.77025519453352</v>
      </c>
      <c r="FR59" s="175"/>
      <c r="FS59" s="195"/>
      <c r="FV59" s="175">
        <v>25477</v>
      </c>
      <c r="FW59" s="2">
        <f t="shared" si="2"/>
        <v>-25477</v>
      </c>
      <c r="FZ59" s="186"/>
      <c r="GA59" s="2"/>
      <c r="GB59" s="2"/>
    </row>
    <row r="60" spans="1:184" ht="13" x14ac:dyDescent="0.3">
      <c r="A60" s="77">
        <v>181</v>
      </c>
      <c r="B60" s="75" t="s">
        <v>59</v>
      </c>
      <c r="C60" s="179">
        <v>1809</v>
      </c>
      <c r="D60" s="138"/>
      <c r="E60" s="142">
        <v>0.76989247311827957</v>
      </c>
      <c r="F60" s="142">
        <v>52.240791552340568</v>
      </c>
      <c r="G60" s="183">
        <v>-3105.5831951354339</v>
      </c>
      <c r="H60" s="144"/>
      <c r="I60" s="186"/>
      <c r="K60" s="210">
        <v>27.771415483279888</v>
      </c>
      <c r="L60" s="143">
        <v>71.310116086235482</v>
      </c>
      <c r="M60" s="146">
        <v>3.7139138665404636</v>
      </c>
      <c r="N60" s="143">
        <v>7008.2918739635152</v>
      </c>
      <c r="O60" s="138">
        <v>2216</v>
      </c>
      <c r="P60" s="143">
        <v>722</v>
      </c>
      <c r="Q60" s="184">
        <v>11318</v>
      </c>
      <c r="R60" s="184">
        <v>-10596</v>
      </c>
      <c r="S60" s="139">
        <v>5770</v>
      </c>
      <c r="T60" s="138">
        <v>5535</v>
      </c>
      <c r="U60" s="151"/>
      <c r="W60" s="183">
        <v>-34</v>
      </c>
      <c r="X60" s="183">
        <v>7</v>
      </c>
      <c r="Y60" s="184">
        <v>682</v>
      </c>
      <c r="Z60" s="130">
        <v>349</v>
      </c>
      <c r="AA60" s="130">
        <v>408</v>
      </c>
      <c r="AB60" s="130">
        <v>0</v>
      </c>
      <c r="AC60" s="184">
        <v>741</v>
      </c>
      <c r="AD60" s="183">
        <v>0</v>
      </c>
      <c r="AE60" s="183">
        <v>0</v>
      </c>
      <c r="AF60" s="183">
        <v>0</v>
      </c>
      <c r="AG60" s="183">
        <v>741</v>
      </c>
      <c r="AH60" s="183">
        <v>-1125</v>
      </c>
      <c r="AI60" s="183">
        <v>584</v>
      </c>
      <c r="AJ60" s="167"/>
      <c r="AK60" s="183">
        <v>-177</v>
      </c>
      <c r="AL60" s="183">
        <v>-896</v>
      </c>
      <c r="AM60" s="180">
        <v>852</v>
      </c>
      <c r="AN60" s="139">
        <v>5770</v>
      </c>
      <c r="AO60" s="138">
        <v>4775</v>
      </c>
      <c r="AP60" s="184">
        <v>274</v>
      </c>
      <c r="AQ60" s="138">
        <v>721</v>
      </c>
      <c r="AR60" s="109">
        <v>22.5</v>
      </c>
      <c r="AS60" s="144"/>
      <c r="AT60" s="139">
        <v>81</v>
      </c>
      <c r="AU60" s="228">
        <v>1739</v>
      </c>
      <c r="AV60" s="138"/>
      <c r="AW60" s="224">
        <v>0.86286787726988101</v>
      </c>
      <c r="AX60" s="225">
        <v>53.208849835242432</v>
      </c>
      <c r="AY60" s="139">
        <v>-2789.5342150661299</v>
      </c>
      <c r="AZ60" s="144"/>
      <c r="BA60"/>
      <c r="BC60" s="189">
        <v>28.397905759162303</v>
      </c>
      <c r="BD60" s="183">
        <v>512.36342725704435</v>
      </c>
      <c r="BE60" s="140">
        <v>24.82557251908397</v>
      </c>
      <c r="BF60" s="139">
        <v>7533.0649798734903</v>
      </c>
      <c r="BG60" s="184">
        <v>2500</v>
      </c>
      <c r="BH60" s="216">
        <v>1184</v>
      </c>
      <c r="BI60" s="216">
        <v>12056</v>
      </c>
      <c r="BJ60" s="216">
        <v>-10872</v>
      </c>
      <c r="BK60" s="216">
        <v>6134</v>
      </c>
      <c r="BL60" s="216">
        <v>5428</v>
      </c>
      <c r="BM60" s="151"/>
      <c r="BO60" s="216">
        <v>-29</v>
      </c>
      <c r="BP60" s="216">
        <v>-1</v>
      </c>
      <c r="BQ60" s="216">
        <v>660</v>
      </c>
      <c r="BR60" s="216">
        <v>361</v>
      </c>
      <c r="BS60" s="216">
        <v>0</v>
      </c>
      <c r="BT60" s="216">
        <v>0</v>
      </c>
      <c r="BU60" s="216">
        <v>299</v>
      </c>
      <c r="BV60" s="183">
        <v>0</v>
      </c>
      <c r="BW60" s="183">
        <v>0</v>
      </c>
      <c r="BX60" s="183">
        <v>0</v>
      </c>
      <c r="BY60" s="183">
        <v>299</v>
      </c>
      <c r="BZ60" s="183">
        <v>-838</v>
      </c>
      <c r="CA60" s="183">
        <v>412</v>
      </c>
      <c r="CB60" s="167"/>
      <c r="CC60" s="183">
        <v>-503</v>
      </c>
      <c r="CD60" s="183">
        <v>-771</v>
      </c>
      <c r="CE60" s="180">
        <v>798</v>
      </c>
      <c r="CF60" s="139">
        <v>6134</v>
      </c>
      <c r="CG60" s="216">
        <v>5140</v>
      </c>
      <c r="CH60" s="216">
        <v>286</v>
      </c>
      <c r="CI60" s="216">
        <v>708</v>
      </c>
      <c r="CJ60" s="212">
        <v>22.5</v>
      </c>
      <c r="CK60" s="144"/>
      <c r="CL60" s="130">
        <v>62</v>
      </c>
      <c r="CM60" s="228">
        <v>1707</v>
      </c>
      <c r="CN60" s="138"/>
      <c r="CO60" s="142">
        <v>1.582857142857143</v>
      </c>
      <c r="CP60" s="142">
        <v>50.423763015578338</v>
      </c>
      <c r="CQ60" s="183">
        <v>-2191.5641476274163</v>
      </c>
      <c r="CR60" s="144"/>
      <c r="CS60"/>
      <c r="CU60" s="232">
        <v>37.32119635890767</v>
      </c>
      <c r="CV60" s="143">
        <v>492.09138840070301</v>
      </c>
      <c r="CW60" s="146">
        <v>25.294942661496577</v>
      </c>
      <c r="CX60" s="143">
        <v>7100.7615700058586</v>
      </c>
      <c r="CY60" s="131">
        <v>2629</v>
      </c>
      <c r="CZ60" s="229">
        <v>539</v>
      </c>
      <c r="DA60" s="229">
        <v>11005</v>
      </c>
      <c r="DB60" s="216">
        <v>-10466</v>
      </c>
      <c r="DC60" s="229">
        <v>6074</v>
      </c>
      <c r="DD60" s="229">
        <v>5776</v>
      </c>
      <c r="DE60" s="151"/>
      <c r="DG60" s="229">
        <v>-24</v>
      </c>
      <c r="DH60" s="229">
        <v>1</v>
      </c>
      <c r="DI60" s="229">
        <v>1361</v>
      </c>
      <c r="DJ60" s="229">
        <v>343</v>
      </c>
      <c r="DK60" s="229">
        <v>0</v>
      </c>
      <c r="DL60" s="229">
        <v>0</v>
      </c>
      <c r="DM60" s="229">
        <v>1018</v>
      </c>
      <c r="DN60" s="130">
        <v>0</v>
      </c>
      <c r="DO60" s="130">
        <v>0</v>
      </c>
      <c r="DP60" s="130">
        <v>0</v>
      </c>
      <c r="DQ60" s="130">
        <v>1018</v>
      </c>
      <c r="DR60" s="130">
        <v>181</v>
      </c>
      <c r="DS60" s="130">
        <v>1324</v>
      </c>
      <c r="DT60" s="167"/>
      <c r="DU60" s="183">
        <v>-625</v>
      </c>
      <c r="DV60" s="183">
        <v>-851</v>
      </c>
      <c r="DW60" s="180">
        <v>1094</v>
      </c>
      <c r="DX60" s="130">
        <v>6074</v>
      </c>
      <c r="DY60" s="229">
        <v>5108</v>
      </c>
      <c r="DZ60" s="229">
        <v>306</v>
      </c>
      <c r="EA60" s="229">
        <v>660</v>
      </c>
      <c r="EB60" s="212">
        <v>22.5</v>
      </c>
      <c r="EC60" s="208"/>
      <c r="ED60" s="183">
        <v>88.272058823529505</v>
      </c>
      <c r="EE60" s="3">
        <v>8095</v>
      </c>
      <c r="EF60" s="183">
        <v>8652</v>
      </c>
      <c r="EG60" s="130">
        <v>7567</v>
      </c>
      <c r="EH60" s="130"/>
      <c r="EI60" s="130">
        <v>250</v>
      </c>
      <c r="EJ60" s="130"/>
      <c r="EK60" s="183">
        <v>-326</v>
      </c>
      <c r="EL60" s="183">
        <v>32</v>
      </c>
      <c r="EM60" s="183">
        <v>562</v>
      </c>
      <c r="EN60" s="226">
        <v>-226</v>
      </c>
      <c r="EO60" s="226">
        <v>34</v>
      </c>
      <c r="EP60" s="226">
        <v>578</v>
      </c>
      <c r="EQ60" s="226">
        <v>-238</v>
      </c>
      <c r="ER60" s="230">
        <v>8</v>
      </c>
      <c r="ES60" s="230">
        <v>0</v>
      </c>
      <c r="ET60" s="3">
        <v>0</v>
      </c>
      <c r="EU60" s="211">
        <v>-150</v>
      </c>
      <c r="EV60" s="183">
        <v>900</v>
      </c>
      <c r="EW60" s="183">
        <v>300</v>
      </c>
      <c r="EX60" s="130">
        <v>0</v>
      </c>
      <c r="EY60" s="183">
        <v>500</v>
      </c>
      <c r="EZ60" s="3">
        <v>4831</v>
      </c>
      <c r="FA60" s="3">
        <v>3460</v>
      </c>
      <c r="FB60" s="3">
        <v>1371</v>
      </c>
      <c r="FC60" s="3">
        <v>367</v>
      </c>
      <c r="FD60" s="226">
        <v>5259</v>
      </c>
      <c r="FE60" s="183">
        <v>3433</v>
      </c>
      <c r="FF60" s="183">
        <v>1826</v>
      </c>
      <c r="FG60" s="183">
        <v>381</v>
      </c>
      <c r="FH60" s="230">
        <v>4909</v>
      </c>
      <c r="FI60" s="130">
        <v>2666</v>
      </c>
      <c r="FJ60" s="130">
        <v>2243</v>
      </c>
      <c r="FK60" s="130">
        <v>367</v>
      </c>
      <c r="FL60" s="29">
        <v>3383.0845771144282</v>
      </c>
      <c r="FM60" s="139">
        <v>3802.1851638872913</v>
      </c>
      <c r="FN60" s="139">
        <v>3639.7188049209135</v>
      </c>
      <c r="FO60" s="172">
        <f t="shared" si="0"/>
        <v>227.02222222222221</v>
      </c>
      <c r="FP60" s="170">
        <f t="shared" si="1"/>
        <v>132.99485777517413</v>
      </c>
      <c r="FR60" s="175"/>
      <c r="FS60" s="195"/>
      <c r="FV60" s="175">
        <v>716</v>
      </c>
      <c r="FW60" s="2">
        <f t="shared" si="2"/>
        <v>-716</v>
      </c>
      <c r="FZ60" s="186"/>
      <c r="GA60" s="2"/>
      <c r="GB60" s="2"/>
    </row>
    <row r="61" spans="1:184" ht="13" x14ac:dyDescent="0.3">
      <c r="A61" s="77">
        <v>182</v>
      </c>
      <c r="B61" s="75" t="s">
        <v>60</v>
      </c>
      <c r="C61" s="179">
        <v>20607</v>
      </c>
      <c r="D61" s="138"/>
      <c r="E61" s="142">
        <v>1.1603658536585366</v>
      </c>
      <c r="F61" s="142">
        <v>35.708084063797145</v>
      </c>
      <c r="G61" s="183">
        <v>-1782.7437278594653</v>
      </c>
      <c r="H61" s="144"/>
      <c r="I61" s="186"/>
      <c r="K61" s="210">
        <v>59.550309013670713</v>
      </c>
      <c r="L61" s="143">
        <v>537.5843160091232</v>
      </c>
      <c r="M61" s="146">
        <v>22.917878174717885</v>
      </c>
      <c r="N61" s="143">
        <v>8561.7993885572869</v>
      </c>
      <c r="O61" s="138">
        <v>43359</v>
      </c>
      <c r="P61" s="143">
        <v>42359</v>
      </c>
      <c r="Q61" s="184">
        <v>164615</v>
      </c>
      <c r="R61" s="184">
        <v>-122256</v>
      </c>
      <c r="S61" s="139">
        <v>84038</v>
      </c>
      <c r="T61" s="138">
        <v>42252</v>
      </c>
      <c r="U61" s="151"/>
      <c r="W61" s="183">
        <v>-355</v>
      </c>
      <c r="X61" s="183">
        <v>1640</v>
      </c>
      <c r="Y61" s="184">
        <v>5319</v>
      </c>
      <c r="Z61" s="130">
        <v>8183</v>
      </c>
      <c r="AA61" s="130">
        <v>4252</v>
      </c>
      <c r="AB61" s="130">
        <v>0</v>
      </c>
      <c r="AC61" s="184">
        <v>1388</v>
      </c>
      <c r="AD61" s="184">
        <v>247</v>
      </c>
      <c r="AE61" s="184">
        <v>0</v>
      </c>
      <c r="AF61" s="183">
        <v>-120</v>
      </c>
      <c r="AG61" s="183">
        <v>1515</v>
      </c>
      <c r="AH61" s="183">
        <v>1766</v>
      </c>
      <c r="AI61" s="183">
        <v>5174</v>
      </c>
      <c r="AJ61" s="167"/>
      <c r="AK61" s="183">
        <v>-3490</v>
      </c>
      <c r="AL61" s="183">
        <v>-4530</v>
      </c>
      <c r="AM61" s="180">
        <v>3643</v>
      </c>
      <c r="AN61" s="139">
        <v>84038</v>
      </c>
      <c r="AO61" s="138">
        <v>69472</v>
      </c>
      <c r="AP61" s="184">
        <v>8479</v>
      </c>
      <c r="AQ61" s="138">
        <v>6087</v>
      </c>
      <c r="AR61" s="109">
        <v>21</v>
      </c>
      <c r="AS61" s="144"/>
      <c r="AT61" s="139">
        <v>133</v>
      </c>
      <c r="AU61" s="228">
        <v>20182</v>
      </c>
      <c r="AV61" s="138"/>
      <c r="AW61" s="224">
        <v>0.88963185289312718</v>
      </c>
      <c r="AX61" s="225">
        <v>34.541644346858646</v>
      </c>
      <c r="AY61" s="139">
        <v>-1889.3568526409672</v>
      </c>
      <c r="AZ61" s="144"/>
      <c r="BA61"/>
      <c r="BC61" s="189">
        <v>59.409992997151271</v>
      </c>
      <c r="BD61" s="183">
        <v>335.39787929838474</v>
      </c>
      <c r="BE61" s="140">
        <v>13.843311388149601</v>
      </c>
      <c r="BF61" s="139">
        <v>8843.2761867010213</v>
      </c>
      <c r="BG61" s="184">
        <v>43063</v>
      </c>
      <c r="BH61" s="216">
        <v>42473</v>
      </c>
      <c r="BI61" s="216">
        <v>165470</v>
      </c>
      <c r="BJ61" s="216">
        <v>-122655</v>
      </c>
      <c r="BK61" s="216">
        <v>84863</v>
      </c>
      <c r="BL61" s="216">
        <v>42543</v>
      </c>
      <c r="BM61" s="151"/>
      <c r="BO61" s="216">
        <v>-313</v>
      </c>
      <c r="BP61" s="216">
        <v>1057</v>
      </c>
      <c r="BQ61" s="216">
        <v>5495</v>
      </c>
      <c r="BR61" s="216">
        <v>8110</v>
      </c>
      <c r="BS61" s="216">
        <v>0</v>
      </c>
      <c r="BT61" s="216">
        <v>0</v>
      </c>
      <c r="BU61" s="216">
        <v>-2615</v>
      </c>
      <c r="BV61" s="184">
        <v>247</v>
      </c>
      <c r="BW61" s="184">
        <v>0</v>
      </c>
      <c r="BX61" s="183">
        <v>0</v>
      </c>
      <c r="BY61" s="183">
        <v>-2368</v>
      </c>
      <c r="BZ61" s="183">
        <v>-602</v>
      </c>
      <c r="CA61" s="183">
        <v>5369</v>
      </c>
      <c r="CB61" s="167"/>
      <c r="CC61" s="183">
        <v>-684</v>
      </c>
      <c r="CD61" s="183">
        <v>-4532</v>
      </c>
      <c r="CE61" s="180">
        <v>-1724</v>
      </c>
      <c r="CF61" s="139">
        <v>84863</v>
      </c>
      <c r="CG61" s="216">
        <v>69037</v>
      </c>
      <c r="CH61" s="216">
        <v>9669</v>
      </c>
      <c r="CI61" s="216">
        <v>6157</v>
      </c>
      <c r="CJ61" s="212">
        <v>21</v>
      </c>
      <c r="CK61" s="144"/>
      <c r="CL61" s="130">
        <v>98</v>
      </c>
      <c r="CM61" s="228">
        <v>19887</v>
      </c>
      <c r="CN61" s="138"/>
      <c r="CO61" s="142">
        <v>2.3320561941251596</v>
      </c>
      <c r="CP61" s="142">
        <v>32.837330251372435</v>
      </c>
      <c r="CQ61" s="183">
        <v>-1618.9973349424247</v>
      </c>
      <c r="CR61" s="144"/>
      <c r="CS61"/>
      <c r="CU61" s="232">
        <v>60.112300449727798</v>
      </c>
      <c r="CV61" s="143">
        <v>805.400512897873</v>
      </c>
      <c r="CW61" s="146">
        <v>32.188327598072952</v>
      </c>
      <c r="CX61" s="143">
        <v>9132.8506059234678</v>
      </c>
      <c r="CY61" s="131">
        <v>43536</v>
      </c>
      <c r="CZ61" s="229">
        <v>41771</v>
      </c>
      <c r="DA61" s="229">
        <v>168593</v>
      </c>
      <c r="DB61" s="216">
        <v>-126822</v>
      </c>
      <c r="DC61" s="229">
        <v>87372</v>
      </c>
      <c r="DD61" s="229">
        <v>51097</v>
      </c>
      <c r="DE61" s="151"/>
      <c r="DG61" s="229">
        <v>-264</v>
      </c>
      <c r="DH61" s="229">
        <v>1094</v>
      </c>
      <c r="DI61" s="229">
        <v>12477</v>
      </c>
      <c r="DJ61" s="229">
        <v>8434</v>
      </c>
      <c r="DK61" s="229">
        <v>0</v>
      </c>
      <c r="DL61" s="229">
        <v>0</v>
      </c>
      <c r="DM61" s="229">
        <v>4043</v>
      </c>
      <c r="DN61" s="131">
        <v>247</v>
      </c>
      <c r="DO61" s="131">
        <v>0</v>
      </c>
      <c r="DP61" s="130">
        <v>-75</v>
      </c>
      <c r="DQ61" s="130">
        <v>4215</v>
      </c>
      <c r="DR61" s="130">
        <v>3613</v>
      </c>
      <c r="DS61" s="130">
        <v>12452</v>
      </c>
      <c r="DT61" s="167"/>
      <c r="DU61" s="183">
        <v>2896</v>
      </c>
      <c r="DV61" s="183">
        <v>-5176</v>
      </c>
      <c r="DW61" s="180">
        <v>4832</v>
      </c>
      <c r="DX61" s="130">
        <v>87372</v>
      </c>
      <c r="DY61" s="229">
        <v>70253</v>
      </c>
      <c r="DZ61" s="229">
        <v>11485</v>
      </c>
      <c r="EA61" s="229">
        <v>5634</v>
      </c>
      <c r="EB61" s="212">
        <v>21</v>
      </c>
      <c r="EC61" s="208"/>
      <c r="ED61" s="183">
        <v>171.88235294117601</v>
      </c>
      <c r="EE61" s="3">
        <v>102482</v>
      </c>
      <c r="EF61" s="183">
        <v>103228</v>
      </c>
      <c r="EG61" s="130">
        <v>106168</v>
      </c>
      <c r="EH61" s="130"/>
      <c r="EI61" s="130"/>
      <c r="EJ61" s="130"/>
      <c r="EK61" s="183">
        <v>-6534</v>
      </c>
      <c r="EL61" s="183">
        <v>501</v>
      </c>
      <c r="EM61" s="183">
        <v>4502</v>
      </c>
      <c r="EN61" s="226">
        <v>-7504</v>
      </c>
      <c r="EO61" s="226">
        <v>126</v>
      </c>
      <c r="EP61" s="226">
        <v>285</v>
      </c>
      <c r="EQ61" s="226">
        <v>-7819</v>
      </c>
      <c r="ER61" s="230">
        <v>143</v>
      </c>
      <c r="ES61" s="230">
        <v>56</v>
      </c>
      <c r="ET61" s="3">
        <v>4000</v>
      </c>
      <c r="EU61" s="211">
        <v>0</v>
      </c>
      <c r="EV61" s="183">
        <v>0</v>
      </c>
      <c r="EW61" s="183">
        <v>1025</v>
      </c>
      <c r="EX61" s="130">
        <v>4000</v>
      </c>
      <c r="EY61" s="183">
        <v>-128</v>
      </c>
      <c r="EZ61" s="3">
        <v>42918</v>
      </c>
      <c r="FA61" s="3">
        <v>38390</v>
      </c>
      <c r="FB61" s="3">
        <v>4528</v>
      </c>
      <c r="FC61" s="3">
        <v>5961</v>
      </c>
      <c r="FD61" s="226">
        <v>41217</v>
      </c>
      <c r="FE61" s="183">
        <v>33410</v>
      </c>
      <c r="FF61" s="183">
        <v>7807</v>
      </c>
      <c r="FG61" s="183">
        <v>5590</v>
      </c>
      <c r="FH61" s="230">
        <v>39912</v>
      </c>
      <c r="FI61" s="130">
        <v>32433</v>
      </c>
      <c r="FJ61" s="130">
        <v>7479</v>
      </c>
      <c r="FK61" s="130">
        <v>5016</v>
      </c>
      <c r="FL61" s="29">
        <v>3377.7357208715484</v>
      </c>
      <c r="FM61" s="139">
        <v>3184.5704092755918</v>
      </c>
      <c r="FN61" s="139">
        <v>3060.1900739176344</v>
      </c>
      <c r="FO61" s="172">
        <f t="shared" si="0"/>
        <v>3345.3809523809523</v>
      </c>
      <c r="FP61" s="170">
        <f t="shared" si="1"/>
        <v>168.2194877246921</v>
      </c>
      <c r="FR61" s="175"/>
      <c r="FS61" s="195"/>
      <c r="FV61" s="175">
        <v>6948</v>
      </c>
      <c r="FW61" s="2">
        <f t="shared" si="2"/>
        <v>-6948</v>
      </c>
      <c r="FZ61" s="186"/>
      <c r="GA61" s="2"/>
      <c r="GB61" s="2"/>
    </row>
    <row r="62" spans="1:184" ht="13" x14ac:dyDescent="0.3">
      <c r="A62" s="77">
        <v>186</v>
      </c>
      <c r="B62" s="75" t="s">
        <v>61</v>
      </c>
      <c r="C62" s="179">
        <v>43410</v>
      </c>
      <c r="D62" s="138"/>
      <c r="E62" s="142" t="e">
        <v>#DIV/0!</v>
      </c>
      <c r="F62" s="142">
        <v>54.605039753632859</v>
      </c>
      <c r="G62" s="183">
        <v>-3951.4858327574293</v>
      </c>
      <c r="H62" s="144"/>
      <c r="I62" s="186"/>
      <c r="K62" s="210">
        <v>44.603982508933612</v>
      </c>
      <c r="L62" s="143">
        <v>14.812255240727943</v>
      </c>
      <c r="M62" s="146">
        <v>0.58482512185154545</v>
      </c>
      <c r="N62" s="143">
        <v>9244.5980188896556</v>
      </c>
      <c r="O62" s="138">
        <v>100690</v>
      </c>
      <c r="P62" s="143">
        <v>127520</v>
      </c>
      <c r="Q62" s="184">
        <v>333502</v>
      </c>
      <c r="R62" s="184">
        <v>-205982</v>
      </c>
      <c r="S62" s="139">
        <v>187816</v>
      </c>
      <c r="T62" s="138">
        <v>27387</v>
      </c>
      <c r="U62" s="151"/>
      <c r="W62" s="183">
        <v>456</v>
      </c>
      <c r="X62" s="183">
        <v>565</v>
      </c>
      <c r="Y62" s="184">
        <v>10242</v>
      </c>
      <c r="Z62" s="130">
        <v>22499</v>
      </c>
      <c r="AA62" s="131">
        <v>0</v>
      </c>
      <c r="AB62" s="130">
        <v>0</v>
      </c>
      <c r="AC62" s="184">
        <v>-12257</v>
      </c>
      <c r="AD62" s="183">
        <v>170</v>
      </c>
      <c r="AE62" s="183">
        <v>0</v>
      </c>
      <c r="AF62" s="183">
        <v>0</v>
      </c>
      <c r="AG62" s="183">
        <v>-12087</v>
      </c>
      <c r="AH62" s="183">
        <v>41920</v>
      </c>
      <c r="AI62" s="183">
        <v>135</v>
      </c>
      <c r="AJ62" s="167"/>
      <c r="AK62" s="183">
        <v>642</v>
      </c>
      <c r="AL62" s="183">
        <v>0</v>
      </c>
      <c r="AM62" s="180">
        <v>-55847</v>
      </c>
      <c r="AN62" s="139">
        <v>187816</v>
      </c>
      <c r="AO62" s="138">
        <v>168830</v>
      </c>
      <c r="AP62" s="184">
        <v>5198</v>
      </c>
      <c r="AQ62" s="138">
        <v>13788</v>
      </c>
      <c r="AR62" s="109">
        <v>19.75</v>
      </c>
      <c r="AS62" s="144"/>
      <c r="AT62" s="139">
        <v>146</v>
      </c>
      <c r="AU62" s="228">
        <v>43711</v>
      </c>
      <c r="AV62" s="138"/>
      <c r="AW62" s="224">
        <v>-0.341276394951044</v>
      </c>
      <c r="AX62" s="225">
        <v>86.696868501840882</v>
      </c>
      <c r="AY62" s="139">
        <v>-5201.551096977877</v>
      </c>
      <c r="AZ62" s="144"/>
      <c r="BA62"/>
      <c r="BC62" s="189">
        <v>33.074714007027374</v>
      </c>
      <c r="BD62" s="183">
        <v>56.370250051474457</v>
      </c>
      <c r="BE62" s="140">
        <v>2.6509930612461461</v>
      </c>
      <c r="BF62" s="139">
        <v>7761.2957836700143</v>
      </c>
      <c r="BG62" s="184">
        <v>65950</v>
      </c>
      <c r="BH62" s="216">
        <v>51616</v>
      </c>
      <c r="BI62" s="216">
        <v>285483</v>
      </c>
      <c r="BJ62" s="216">
        <v>-232567</v>
      </c>
      <c r="BK62" s="216">
        <v>193842</v>
      </c>
      <c r="BL62" s="216">
        <v>29139</v>
      </c>
      <c r="BM62" s="151"/>
      <c r="BO62" s="216">
        <v>195</v>
      </c>
      <c r="BP62" s="216">
        <v>544</v>
      </c>
      <c r="BQ62" s="216">
        <v>-8847</v>
      </c>
      <c r="BR62" s="216">
        <v>23684</v>
      </c>
      <c r="BS62" s="216">
        <v>137</v>
      </c>
      <c r="BT62" s="216">
        <v>0</v>
      </c>
      <c r="BU62" s="216">
        <v>-32394</v>
      </c>
      <c r="BV62" s="183">
        <v>150</v>
      </c>
      <c r="BW62" s="183">
        <v>0</v>
      </c>
      <c r="BX62" s="183">
        <v>0</v>
      </c>
      <c r="BY62" s="183">
        <v>-32244</v>
      </c>
      <c r="BZ62" s="183">
        <v>9677</v>
      </c>
      <c r="CA62" s="183">
        <v>-13166</v>
      </c>
      <c r="CB62" s="167"/>
      <c r="CC62" s="183">
        <v>6118</v>
      </c>
      <c r="CD62" s="183">
        <v>-2750</v>
      </c>
      <c r="CE62" s="180">
        <v>-55861</v>
      </c>
      <c r="CF62" s="139">
        <v>193842</v>
      </c>
      <c r="CG62" s="216">
        <v>174569</v>
      </c>
      <c r="CH62" s="216">
        <v>4677</v>
      </c>
      <c r="CI62" s="216">
        <v>14596</v>
      </c>
      <c r="CJ62" s="212">
        <v>19.75</v>
      </c>
      <c r="CK62" s="144"/>
      <c r="CL62" s="130">
        <v>271</v>
      </c>
      <c r="CM62" s="228">
        <v>44455</v>
      </c>
      <c r="CN62" s="138"/>
      <c r="CO62" s="142">
        <v>58.181122448979593</v>
      </c>
      <c r="CP62" s="142">
        <v>92.448034575015441</v>
      </c>
      <c r="CQ62" s="183">
        <v>-5410.4600157462601</v>
      </c>
      <c r="CR62" s="144"/>
      <c r="CS62"/>
      <c r="CU62" s="232">
        <v>30.573209280896862</v>
      </c>
      <c r="CV62" s="143">
        <v>463.14250365538186</v>
      </c>
      <c r="CW62" s="146">
        <v>24.388612134291787</v>
      </c>
      <c r="CX62" s="143">
        <v>6931.3912945675402</v>
      </c>
      <c r="CY62" s="131">
        <v>65123</v>
      </c>
      <c r="CZ62" s="229">
        <v>40762</v>
      </c>
      <c r="DA62" s="229">
        <v>270914</v>
      </c>
      <c r="DB62" s="216">
        <v>-230152</v>
      </c>
      <c r="DC62" s="229">
        <v>201450</v>
      </c>
      <c r="DD62" s="229">
        <v>50715</v>
      </c>
      <c r="DE62" s="151"/>
      <c r="DG62" s="229">
        <v>-171</v>
      </c>
      <c r="DH62" s="229">
        <v>573</v>
      </c>
      <c r="DI62" s="229">
        <v>22415</v>
      </c>
      <c r="DJ62" s="229">
        <v>21477</v>
      </c>
      <c r="DK62" s="229">
        <v>0</v>
      </c>
      <c r="DL62" s="229">
        <v>0</v>
      </c>
      <c r="DM62" s="229">
        <v>938</v>
      </c>
      <c r="DN62" s="130">
        <v>133</v>
      </c>
      <c r="DO62" s="130">
        <v>0</v>
      </c>
      <c r="DP62" s="130">
        <v>0</v>
      </c>
      <c r="DQ62" s="130">
        <v>1071</v>
      </c>
      <c r="DR62" s="130">
        <v>10747</v>
      </c>
      <c r="DS62" s="130">
        <v>12634</v>
      </c>
      <c r="DT62" s="167"/>
      <c r="DU62" s="183">
        <v>-175</v>
      </c>
      <c r="DV62" s="183">
        <v>0</v>
      </c>
      <c r="DW62" s="180">
        <v>-13687</v>
      </c>
      <c r="DX62" s="130">
        <v>201450</v>
      </c>
      <c r="DY62" s="229">
        <v>182979</v>
      </c>
      <c r="DZ62" s="229">
        <v>4673</v>
      </c>
      <c r="EA62" s="229">
        <v>13798</v>
      </c>
      <c r="EB62" s="212">
        <v>19.75</v>
      </c>
      <c r="EC62" s="208"/>
      <c r="ED62" s="183">
        <v>226.279411764705</v>
      </c>
      <c r="EE62" s="3">
        <v>195372</v>
      </c>
      <c r="EF62" s="183">
        <v>181344</v>
      </c>
      <c r="EG62" s="130">
        <v>180937</v>
      </c>
      <c r="EH62" s="130"/>
      <c r="EI62" s="130"/>
      <c r="EJ62" s="130">
        <v>2000</v>
      </c>
      <c r="EK62" s="183">
        <v>-68676</v>
      </c>
      <c r="EL62" s="183">
        <v>551</v>
      </c>
      <c r="EM62" s="183">
        <v>12143</v>
      </c>
      <c r="EN62" s="226">
        <v>-50488</v>
      </c>
      <c r="EO62" s="226">
        <v>784</v>
      </c>
      <c r="EP62" s="226">
        <v>7009</v>
      </c>
      <c r="EQ62" s="226">
        <v>-37941</v>
      </c>
      <c r="ER62" s="230">
        <v>243</v>
      </c>
      <c r="ES62" s="230">
        <v>11377</v>
      </c>
      <c r="ET62" s="3">
        <v>0</v>
      </c>
      <c r="EU62" s="211">
        <v>44394</v>
      </c>
      <c r="EV62" s="183">
        <v>183000</v>
      </c>
      <c r="EW62" s="183">
        <v>-124064</v>
      </c>
      <c r="EX62" s="130">
        <v>50000</v>
      </c>
      <c r="EY62" s="183">
        <v>-12277</v>
      </c>
      <c r="EZ62" s="3">
        <v>135667</v>
      </c>
      <c r="FA62" s="3">
        <v>0</v>
      </c>
      <c r="FB62" s="3">
        <v>135667</v>
      </c>
      <c r="FC62" s="3">
        <v>4991</v>
      </c>
      <c r="FD62" s="226">
        <v>191852</v>
      </c>
      <c r="FE62" s="183">
        <v>174814</v>
      </c>
      <c r="FF62" s="183">
        <v>17038</v>
      </c>
      <c r="FG62" s="183">
        <v>4991</v>
      </c>
      <c r="FH62" s="230">
        <v>229575</v>
      </c>
      <c r="FI62" s="130">
        <v>210271</v>
      </c>
      <c r="FJ62" s="130">
        <v>19304</v>
      </c>
      <c r="FK62" s="130">
        <v>4991</v>
      </c>
      <c r="FL62" s="29">
        <v>7852.038700760193</v>
      </c>
      <c r="FM62" s="139">
        <v>9130.5163459998639</v>
      </c>
      <c r="FN62" s="139">
        <v>9747.3175120908782</v>
      </c>
      <c r="FO62" s="172">
        <f t="shared" si="0"/>
        <v>9264.7594936708865</v>
      </c>
      <c r="FP62" s="170">
        <f t="shared" si="1"/>
        <v>208.40759180454137</v>
      </c>
      <c r="FR62" s="175"/>
      <c r="FS62" s="195"/>
      <c r="FV62" s="175">
        <v>2326</v>
      </c>
      <c r="FW62" s="2">
        <f t="shared" si="2"/>
        <v>-2326</v>
      </c>
      <c r="FZ62" s="186"/>
      <c r="GA62" s="2"/>
      <c r="GB62" s="2"/>
    </row>
    <row r="63" spans="1:184" ht="13" x14ac:dyDescent="0.3">
      <c r="A63" s="77">
        <v>202</v>
      </c>
      <c r="B63" s="75" t="s">
        <v>62</v>
      </c>
      <c r="C63" s="179">
        <v>33458</v>
      </c>
      <c r="D63" s="138"/>
      <c r="E63" s="142">
        <v>7.3677248677248679</v>
      </c>
      <c r="F63" s="142">
        <v>56.265323140376196</v>
      </c>
      <c r="G63" s="183">
        <v>-2876.5018829577384</v>
      </c>
      <c r="H63" s="144"/>
      <c r="I63" s="186"/>
      <c r="K63" s="210">
        <v>47.578449601726234</v>
      </c>
      <c r="L63" s="143">
        <v>267.23055771414909</v>
      </c>
      <c r="M63" s="146">
        <v>15.333742112212152</v>
      </c>
      <c r="N63" s="143">
        <v>6361.0795624364873</v>
      </c>
      <c r="O63" s="138">
        <v>78576</v>
      </c>
      <c r="P63" s="143">
        <v>33714</v>
      </c>
      <c r="Q63" s="184">
        <v>196221</v>
      </c>
      <c r="R63" s="184">
        <v>-162507</v>
      </c>
      <c r="S63" s="139">
        <v>139346</v>
      </c>
      <c r="T63" s="138">
        <v>27618</v>
      </c>
      <c r="U63" s="151"/>
      <c r="W63" s="183">
        <v>-245</v>
      </c>
      <c r="X63" s="183">
        <v>669</v>
      </c>
      <c r="Y63" s="184">
        <v>4881</v>
      </c>
      <c r="Z63" s="130">
        <v>8786</v>
      </c>
      <c r="AA63" s="130">
        <v>0</v>
      </c>
      <c r="AB63" s="130">
        <v>0</v>
      </c>
      <c r="AC63" s="184">
        <v>-3905</v>
      </c>
      <c r="AD63" s="183">
        <v>17</v>
      </c>
      <c r="AE63" s="184">
        <v>0</v>
      </c>
      <c r="AF63" s="183">
        <v>0</v>
      </c>
      <c r="AG63" s="183">
        <v>-3888</v>
      </c>
      <c r="AH63" s="183">
        <v>27350</v>
      </c>
      <c r="AI63" s="183">
        <v>2362</v>
      </c>
      <c r="AJ63" s="167"/>
      <c r="AK63" s="183">
        <v>-82</v>
      </c>
      <c r="AL63" s="183">
        <v>-67</v>
      </c>
      <c r="AM63" s="180">
        <v>-9794</v>
      </c>
      <c r="AN63" s="139">
        <v>139346</v>
      </c>
      <c r="AO63" s="138">
        <v>127265</v>
      </c>
      <c r="AP63" s="184">
        <v>4896</v>
      </c>
      <c r="AQ63" s="138">
        <v>7185</v>
      </c>
      <c r="AR63" s="109">
        <v>19.75</v>
      </c>
      <c r="AS63" s="144"/>
      <c r="AT63" s="139">
        <v>199</v>
      </c>
      <c r="AU63" s="228">
        <v>33937</v>
      </c>
      <c r="AV63" s="138"/>
      <c r="AW63" s="224">
        <v>0.25776985629943189</v>
      </c>
      <c r="AX63" s="225">
        <v>62.856773179474402</v>
      </c>
      <c r="AY63" s="139">
        <v>-3152.2527035389103</v>
      </c>
      <c r="AZ63" s="144"/>
      <c r="BA63"/>
      <c r="BC63" s="189">
        <v>41.552113299402521</v>
      </c>
      <c r="BD63" s="183">
        <v>487.72725933347084</v>
      </c>
      <c r="BE63" s="140">
        <v>26.923056355225981</v>
      </c>
      <c r="BF63" s="139">
        <v>6612.193181483337</v>
      </c>
      <c r="BG63" s="184">
        <v>81452</v>
      </c>
      <c r="BH63" s="216">
        <v>35114</v>
      </c>
      <c r="BI63" s="216">
        <v>206974</v>
      </c>
      <c r="BJ63" s="216">
        <v>-171510</v>
      </c>
      <c r="BK63" s="216">
        <v>145290</v>
      </c>
      <c r="BL63" s="216">
        <v>28272</v>
      </c>
      <c r="BM63" s="151"/>
      <c r="BO63" s="216">
        <v>-1422</v>
      </c>
      <c r="BP63" s="216">
        <v>1294</v>
      </c>
      <c r="BQ63" s="216">
        <v>1924</v>
      </c>
      <c r="BR63" s="216">
        <v>11670</v>
      </c>
      <c r="BS63" s="216">
        <v>0</v>
      </c>
      <c r="BT63" s="216">
        <v>0</v>
      </c>
      <c r="BU63" s="216">
        <v>-9746</v>
      </c>
      <c r="BV63" s="183">
        <v>17</v>
      </c>
      <c r="BW63" s="184">
        <v>0</v>
      </c>
      <c r="BX63" s="183">
        <v>0</v>
      </c>
      <c r="BY63" s="183">
        <v>-9729</v>
      </c>
      <c r="BZ63" s="183">
        <v>17620</v>
      </c>
      <c r="CA63" s="183">
        <v>-2075</v>
      </c>
      <c r="CB63" s="167"/>
      <c r="CC63" s="183">
        <v>-139</v>
      </c>
      <c r="CD63" s="183">
        <v>-1192</v>
      </c>
      <c r="CE63" s="180">
        <v>-12290</v>
      </c>
      <c r="CF63" s="139">
        <v>145290</v>
      </c>
      <c r="CG63" s="216">
        <v>132499</v>
      </c>
      <c r="CH63" s="216">
        <v>5375</v>
      </c>
      <c r="CI63" s="216">
        <v>7416</v>
      </c>
      <c r="CJ63" s="212">
        <v>19.75</v>
      </c>
      <c r="CK63" s="144"/>
      <c r="CL63" s="130">
        <v>211</v>
      </c>
      <c r="CM63" s="228">
        <v>34667</v>
      </c>
      <c r="CN63" s="138"/>
      <c r="CO63" s="142">
        <v>8.1423267326732667</v>
      </c>
      <c r="CP63" s="142">
        <v>61.427223863595913</v>
      </c>
      <c r="CQ63" s="183">
        <v>-3017.4806011480659</v>
      </c>
      <c r="CR63" s="144"/>
      <c r="CS63"/>
      <c r="CU63" s="232">
        <v>42.490862247078198</v>
      </c>
      <c r="CV63" s="143">
        <v>653.6187152046615</v>
      </c>
      <c r="CW63" s="146">
        <v>36.341540043413687</v>
      </c>
      <c r="CX63" s="143">
        <v>6564.686878010788</v>
      </c>
      <c r="CY63" s="131">
        <v>80831</v>
      </c>
      <c r="CZ63" s="229">
        <v>31823</v>
      </c>
      <c r="DA63" s="229">
        <v>206069</v>
      </c>
      <c r="DB63" s="216">
        <v>-174246</v>
      </c>
      <c r="DC63" s="229">
        <v>150610</v>
      </c>
      <c r="DD63" s="229">
        <v>42557</v>
      </c>
      <c r="DE63" s="151"/>
      <c r="DG63" s="229">
        <v>-1491</v>
      </c>
      <c r="DH63" s="229">
        <v>700</v>
      </c>
      <c r="DI63" s="229">
        <v>18130</v>
      </c>
      <c r="DJ63" s="229">
        <v>9598</v>
      </c>
      <c r="DK63" s="229">
        <v>0</v>
      </c>
      <c r="DL63" s="229">
        <v>0</v>
      </c>
      <c r="DM63" s="229">
        <v>8532</v>
      </c>
      <c r="DN63" s="130">
        <v>17</v>
      </c>
      <c r="DO63" s="131">
        <v>0</v>
      </c>
      <c r="DP63" s="130">
        <v>0</v>
      </c>
      <c r="DQ63" s="130">
        <v>8549</v>
      </c>
      <c r="DR63" s="130">
        <v>26167</v>
      </c>
      <c r="DS63" s="130">
        <v>15542</v>
      </c>
      <c r="DT63" s="167"/>
      <c r="DU63" s="183">
        <v>-3150</v>
      </c>
      <c r="DV63" s="183">
        <v>-817</v>
      </c>
      <c r="DW63" s="180">
        <v>-162</v>
      </c>
      <c r="DX63" s="130">
        <v>150610</v>
      </c>
      <c r="DY63" s="229">
        <v>137875</v>
      </c>
      <c r="DZ63" s="229">
        <v>5762</v>
      </c>
      <c r="EA63" s="229">
        <v>6973</v>
      </c>
      <c r="EB63" s="212">
        <v>19.75</v>
      </c>
      <c r="EC63" s="208"/>
      <c r="ED63" s="183">
        <v>220.23529411764699</v>
      </c>
      <c r="EE63" s="3">
        <v>86051</v>
      </c>
      <c r="EF63" s="183">
        <v>92819</v>
      </c>
      <c r="EG63" s="130">
        <v>93653</v>
      </c>
      <c r="EH63" s="130"/>
      <c r="EI63" s="130"/>
      <c r="EJ63" s="130"/>
      <c r="EK63" s="183">
        <v>-16237</v>
      </c>
      <c r="EL63" s="183">
        <v>56</v>
      </c>
      <c r="EM63" s="183">
        <v>4025</v>
      </c>
      <c r="EN63" s="226">
        <v>-15027</v>
      </c>
      <c r="EO63" s="226">
        <v>0</v>
      </c>
      <c r="EP63" s="226">
        <v>4812</v>
      </c>
      <c r="EQ63" s="226">
        <v>-19324</v>
      </c>
      <c r="ER63" s="230">
        <v>132</v>
      </c>
      <c r="ES63" s="230">
        <v>3488</v>
      </c>
      <c r="ET63" s="3">
        <v>0</v>
      </c>
      <c r="EU63" s="211">
        <v>0</v>
      </c>
      <c r="EV63" s="183">
        <v>50000</v>
      </c>
      <c r="EW63" s="183">
        <v>-33250</v>
      </c>
      <c r="EX63" s="130">
        <v>20000</v>
      </c>
      <c r="EY63" s="183">
        <v>-15000</v>
      </c>
      <c r="EZ63" s="3">
        <v>69234</v>
      </c>
      <c r="FA63" s="3">
        <v>167</v>
      </c>
      <c r="FB63" s="3">
        <v>69067</v>
      </c>
      <c r="FC63" s="3">
        <v>2291</v>
      </c>
      <c r="FD63" s="226">
        <v>84792</v>
      </c>
      <c r="FE63" s="183">
        <v>48975</v>
      </c>
      <c r="FF63" s="183">
        <v>35817</v>
      </c>
      <c r="FG63" s="183">
        <v>2291</v>
      </c>
      <c r="FH63" s="230">
        <v>88975</v>
      </c>
      <c r="FI63" s="130">
        <v>68158</v>
      </c>
      <c r="FJ63" s="130">
        <v>20817</v>
      </c>
      <c r="FK63" s="130">
        <v>671</v>
      </c>
      <c r="FL63" s="29">
        <v>3636.6788212086794</v>
      </c>
      <c r="FM63" s="139">
        <v>3934.8498688746795</v>
      </c>
      <c r="FN63" s="139">
        <v>3883.5780425188218</v>
      </c>
      <c r="FO63" s="172">
        <f t="shared" si="0"/>
        <v>6981.0126582278481</v>
      </c>
      <c r="FP63" s="170">
        <f t="shared" si="1"/>
        <v>201.37342885821812</v>
      </c>
      <c r="FR63" s="175"/>
      <c r="FS63" s="195"/>
      <c r="FV63" s="175">
        <v>460</v>
      </c>
      <c r="FW63" s="2">
        <f t="shared" si="2"/>
        <v>-460</v>
      </c>
      <c r="FZ63" s="186"/>
      <c r="GA63" s="2"/>
      <c r="GB63" s="2"/>
    </row>
    <row r="64" spans="1:184" ht="13" x14ac:dyDescent="0.3">
      <c r="A64" s="77">
        <v>204</v>
      </c>
      <c r="B64" s="75" t="s">
        <v>63</v>
      </c>
      <c r="C64" s="179">
        <v>2990</v>
      </c>
      <c r="D64" s="138"/>
      <c r="E64" s="142">
        <v>0.6894618834080718</v>
      </c>
      <c r="F64" s="142">
        <v>40.179661951853745</v>
      </c>
      <c r="G64" s="183">
        <v>-2585.9531772575251</v>
      </c>
      <c r="H64" s="144"/>
      <c r="I64" s="186"/>
      <c r="K64" s="210">
        <v>43.884181525185838</v>
      </c>
      <c r="L64" s="143">
        <v>420.73578595317724</v>
      </c>
      <c r="M64" s="146">
        <v>17.389509562582845</v>
      </c>
      <c r="N64" s="143">
        <v>8831.1036789297668</v>
      </c>
      <c r="O64" s="138">
        <v>7018</v>
      </c>
      <c r="P64" s="143">
        <v>3269</v>
      </c>
      <c r="Q64" s="184">
        <v>24982</v>
      </c>
      <c r="R64" s="184">
        <v>-21713</v>
      </c>
      <c r="S64" s="139">
        <v>9219</v>
      </c>
      <c r="T64" s="138">
        <v>12893</v>
      </c>
      <c r="U64" s="151"/>
      <c r="W64" s="183">
        <v>-126</v>
      </c>
      <c r="X64" s="183">
        <v>213</v>
      </c>
      <c r="Y64" s="184">
        <v>486</v>
      </c>
      <c r="Z64" s="130">
        <v>776</v>
      </c>
      <c r="AA64" s="130">
        <v>0</v>
      </c>
      <c r="AB64" s="131">
        <v>0</v>
      </c>
      <c r="AC64" s="184">
        <v>-290</v>
      </c>
      <c r="AD64" s="184">
        <v>13</v>
      </c>
      <c r="AE64" s="183">
        <v>0</v>
      </c>
      <c r="AF64" s="183">
        <v>0</v>
      </c>
      <c r="AG64" s="183">
        <v>-277</v>
      </c>
      <c r="AH64" s="183">
        <v>-490</v>
      </c>
      <c r="AI64" s="183">
        <v>704</v>
      </c>
      <c r="AJ64" s="167"/>
      <c r="AK64" s="183">
        <v>-214</v>
      </c>
      <c r="AL64" s="183">
        <v>-763</v>
      </c>
      <c r="AM64" s="180">
        <v>1182</v>
      </c>
      <c r="AN64" s="139">
        <v>9219</v>
      </c>
      <c r="AO64" s="138">
        <v>7148</v>
      </c>
      <c r="AP64" s="184">
        <v>967</v>
      </c>
      <c r="AQ64" s="138">
        <v>1104</v>
      </c>
      <c r="AR64" s="109">
        <v>21.75</v>
      </c>
      <c r="AS64" s="144"/>
      <c r="AT64" s="139">
        <v>188</v>
      </c>
      <c r="AU64" s="228">
        <v>2893</v>
      </c>
      <c r="AV64" s="138"/>
      <c r="AW64" s="224">
        <v>0.62362269591185249</v>
      </c>
      <c r="AX64" s="225">
        <v>38.86466344247998</v>
      </c>
      <c r="AY64" s="139">
        <v>-2365.7103352920844</v>
      </c>
      <c r="AZ64" s="144"/>
      <c r="BA64"/>
      <c r="BC64" s="189">
        <v>44.011896542567314</v>
      </c>
      <c r="BD64" s="183">
        <v>402.00483926719664</v>
      </c>
      <c r="BE64" s="140">
        <v>15.960858775755753</v>
      </c>
      <c r="BF64" s="139">
        <v>9193.2250259246448</v>
      </c>
      <c r="BG64" s="184">
        <v>6900</v>
      </c>
      <c r="BH64" s="216">
        <v>3316</v>
      </c>
      <c r="BI64" s="216">
        <v>24656</v>
      </c>
      <c r="BJ64" s="216">
        <v>-21340</v>
      </c>
      <c r="BK64" s="216">
        <v>9442</v>
      </c>
      <c r="BL64" s="216">
        <v>12468</v>
      </c>
      <c r="BM64" s="151"/>
      <c r="BO64" s="216">
        <v>-111</v>
      </c>
      <c r="BP64" s="216">
        <v>184</v>
      </c>
      <c r="BQ64" s="216">
        <v>643</v>
      </c>
      <c r="BR64" s="216">
        <v>797</v>
      </c>
      <c r="BS64" s="216">
        <v>0</v>
      </c>
      <c r="BT64" s="216">
        <v>0</v>
      </c>
      <c r="BU64" s="216">
        <v>-154</v>
      </c>
      <c r="BV64" s="184">
        <v>12</v>
      </c>
      <c r="BW64" s="183">
        <v>0</v>
      </c>
      <c r="BX64" s="183">
        <v>0</v>
      </c>
      <c r="BY64" s="183">
        <v>-142</v>
      </c>
      <c r="BZ64" s="183">
        <v>-632</v>
      </c>
      <c r="CA64" s="183">
        <v>542</v>
      </c>
      <c r="CB64" s="167"/>
      <c r="CC64" s="183">
        <v>-589</v>
      </c>
      <c r="CD64" s="183">
        <v>-1086</v>
      </c>
      <c r="CE64" s="180">
        <v>561</v>
      </c>
      <c r="CF64" s="139">
        <v>9442</v>
      </c>
      <c r="CG64" s="216">
        <v>7195</v>
      </c>
      <c r="CH64" s="216">
        <v>1099</v>
      </c>
      <c r="CI64" s="216">
        <v>1148</v>
      </c>
      <c r="CJ64" s="212">
        <v>22</v>
      </c>
      <c r="CK64" s="144"/>
      <c r="CL64" s="130">
        <v>118</v>
      </c>
      <c r="CM64" s="228">
        <v>2807</v>
      </c>
      <c r="CN64" s="138"/>
      <c r="CO64" s="142">
        <v>2.8821989528795813</v>
      </c>
      <c r="CP64" s="142">
        <v>38.240691184341308</v>
      </c>
      <c r="CQ64" s="183">
        <v>-2098.6818667616672</v>
      </c>
      <c r="CR64" s="144"/>
      <c r="CS64"/>
      <c r="CU64" s="232">
        <v>47.109641111714467</v>
      </c>
      <c r="CV64" s="143">
        <v>1068.0441752760955</v>
      </c>
      <c r="CW64" s="146">
        <v>41.564553500208909</v>
      </c>
      <c r="CX64" s="143">
        <v>9379.0523690773061</v>
      </c>
      <c r="CY64" s="131">
        <v>6379</v>
      </c>
      <c r="CZ64" s="229">
        <v>3028</v>
      </c>
      <c r="DA64" s="229">
        <v>24138</v>
      </c>
      <c r="DB64" s="216">
        <v>-21110</v>
      </c>
      <c r="DC64" s="229">
        <v>9833</v>
      </c>
      <c r="DD64" s="229">
        <v>13297</v>
      </c>
      <c r="DE64" s="151"/>
      <c r="DG64" s="229">
        <v>-103</v>
      </c>
      <c r="DH64" s="229">
        <v>179</v>
      </c>
      <c r="DI64" s="229">
        <v>2096</v>
      </c>
      <c r="DJ64" s="229">
        <v>840</v>
      </c>
      <c r="DK64" s="229">
        <v>0</v>
      </c>
      <c r="DL64" s="229">
        <v>0</v>
      </c>
      <c r="DM64" s="229">
        <v>1256</v>
      </c>
      <c r="DN64" s="131">
        <v>48</v>
      </c>
      <c r="DO64" s="130">
        <v>0</v>
      </c>
      <c r="DP64" s="130">
        <v>0</v>
      </c>
      <c r="DQ64" s="130">
        <v>1304</v>
      </c>
      <c r="DR64" s="130">
        <v>672</v>
      </c>
      <c r="DS64" s="130">
        <v>2054</v>
      </c>
      <c r="DT64" s="167"/>
      <c r="DU64" s="183">
        <v>683</v>
      </c>
      <c r="DV64" s="183">
        <v>-658</v>
      </c>
      <c r="DW64" s="180">
        <v>1386</v>
      </c>
      <c r="DX64" s="130">
        <v>9833</v>
      </c>
      <c r="DY64" s="229">
        <v>7458</v>
      </c>
      <c r="DZ64" s="229">
        <v>1304</v>
      </c>
      <c r="EA64" s="229">
        <v>1071</v>
      </c>
      <c r="EB64" s="212">
        <v>22</v>
      </c>
      <c r="EC64" s="208"/>
      <c r="ED64" s="183">
        <v>107.41176470588201</v>
      </c>
      <c r="EE64" s="3">
        <v>15203</v>
      </c>
      <c r="EF64" s="183">
        <v>15024</v>
      </c>
      <c r="EG64" s="130">
        <v>14812</v>
      </c>
      <c r="EH64" s="130"/>
      <c r="EI64" s="130"/>
      <c r="EJ64" s="130">
        <v>400</v>
      </c>
      <c r="EK64" s="183">
        <v>-524</v>
      </c>
      <c r="EL64" s="183">
        <v>63</v>
      </c>
      <c r="EM64" s="183">
        <v>939</v>
      </c>
      <c r="EN64" s="226">
        <v>-739</v>
      </c>
      <c r="EO64" s="226">
        <v>0</v>
      </c>
      <c r="EP64" s="226">
        <v>758</v>
      </c>
      <c r="EQ64" s="226">
        <v>-1411</v>
      </c>
      <c r="ER64" s="230">
        <v>0</v>
      </c>
      <c r="ES64" s="230">
        <v>743</v>
      </c>
      <c r="ET64" s="3">
        <v>0</v>
      </c>
      <c r="EU64" s="211">
        <v>0</v>
      </c>
      <c r="EV64" s="183">
        <v>0</v>
      </c>
      <c r="EW64" s="183">
        <v>1000</v>
      </c>
      <c r="EX64" s="130">
        <v>0</v>
      </c>
      <c r="EY64" s="183">
        <v>0</v>
      </c>
      <c r="EZ64" s="3">
        <v>7982</v>
      </c>
      <c r="FA64" s="3">
        <v>6775</v>
      </c>
      <c r="FB64" s="3">
        <v>1207</v>
      </c>
      <c r="FC64" s="3">
        <v>507</v>
      </c>
      <c r="FD64" s="226">
        <v>7897</v>
      </c>
      <c r="FE64" s="183">
        <v>5739</v>
      </c>
      <c r="FF64" s="183">
        <v>2158</v>
      </c>
      <c r="FG64" s="183">
        <v>507</v>
      </c>
      <c r="FH64" s="230">
        <v>7239</v>
      </c>
      <c r="FI64" s="130">
        <v>5192</v>
      </c>
      <c r="FJ64" s="130">
        <v>2047</v>
      </c>
      <c r="FK64" s="130">
        <v>507</v>
      </c>
      <c r="FL64" s="29">
        <v>5546.4882943143812</v>
      </c>
      <c r="FM64" s="139">
        <v>5766.6781887314201</v>
      </c>
      <c r="FN64" s="139">
        <v>5905.5931599572496</v>
      </c>
      <c r="FO64" s="172">
        <f t="shared" si="0"/>
        <v>339</v>
      </c>
      <c r="FP64" s="170">
        <f t="shared" si="1"/>
        <v>120.76950480940506</v>
      </c>
      <c r="FR64" s="175"/>
      <c r="FS64" s="195"/>
      <c r="FV64" s="175">
        <v>479</v>
      </c>
      <c r="FW64" s="2">
        <f t="shared" si="2"/>
        <v>-479</v>
      </c>
      <c r="FZ64" s="186"/>
      <c r="GA64" s="2"/>
      <c r="GB64" s="2"/>
    </row>
    <row r="65" spans="1:184" ht="13" x14ac:dyDescent="0.3">
      <c r="A65" s="77">
        <v>205</v>
      </c>
      <c r="B65" s="75" t="s">
        <v>64</v>
      </c>
      <c r="C65" s="179">
        <v>36973</v>
      </c>
      <c r="D65" s="138"/>
      <c r="E65" s="142">
        <v>0.19019634032322694</v>
      </c>
      <c r="F65" s="142">
        <v>60.659121595351365</v>
      </c>
      <c r="G65" s="183">
        <v>-4189.624861385335</v>
      </c>
      <c r="H65" s="144"/>
      <c r="I65" s="186"/>
      <c r="K65" s="210">
        <v>54.848542480271576</v>
      </c>
      <c r="L65" s="143">
        <v>136.20750277229328</v>
      </c>
      <c r="M65" s="146">
        <v>5.6496442347589557</v>
      </c>
      <c r="N65" s="143">
        <v>8799.7998539474738</v>
      </c>
      <c r="O65" s="138">
        <v>86629</v>
      </c>
      <c r="P65" s="143">
        <v>45115</v>
      </c>
      <c r="Q65" s="184">
        <v>286577</v>
      </c>
      <c r="R65" s="184">
        <v>-241462</v>
      </c>
      <c r="S65" s="139">
        <v>135606</v>
      </c>
      <c r="T65" s="138">
        <v>103186</v>
      </c>
      <c r="U65" s="151"/>
      <c r="W65" s="183">
        <v>3580</v>
      </c>
      <c r="X65" s="183">
        <v>652</v>
      </c>
      <c r="Y65" s="184">
        <v>1562</v>
      </c>
      <c r="Z65" s="130">
        <v>14882</v>
      </c>
      <c r="AA65" s="131">
        <v>0</v>
      </c>
      <c r="AB65" s="131">
        <v>0</v>
      </c>
      <c r="AC65" s="184">
        <v>-13320</v>
      </c>
      <c r="AD65" s="184">
        <v>500</v>
      </c>
      <c r="AE65" s="183">
        <v>552</v>
      </c>
      <c r="AF65" s="184">
        <v>24</v>
      </c>
      <c r="AG65" s="183">
        <v>-12244</v>
      </c>
      <c r="AH65" s="183">
        <v>57320</v>
      </c>
      <c r="AI65" s="183">
        <v>-208</v>
      </c>
      <c r="AJ65" s="167"/>
      <c r="AK65" s="183">
        <v>-139</v>
      </c>
      <c r="AL65" s="183">
        <v>-13688</v>
      </c>
      <c r="AM65" s="180">
        <v>-19027</v>
      </c>
      <c r="AN65" s="139">
        <v>135606</v>
      </c>
      <c r="AO65" s="138">
        <v>120067</v>
      </c>
      <c r="AP65" s="184">
        <v>5397</v>
      </c>
      <c r="AQ65" s="138">
        <v>10142</v>
      </c>
      <c r="AR65" s="109">
        <v>21</v>
      </c>
      <c r="AS65" s="144"/>
      <c r="AT65" s="139">
        <v>235</v>
      </c>
      <c r="AU65" s="228">
        <v>36709</v>
      </c>
      <c r="AV65" s="138"/>
      <c r="AW65" s="224">
        <v>2.0859892096334613</v>
      </c>
      <c r="AX65" s="225">
        <v>65.79092019900358</v>
      </c>
      <c r="AY65" s="139">
        <v>1589.8825901005202</v>
      </c>
      <c r="AZ65" s="144"/>
      <c r="BA65"/>
      <c r="BC65" s="189">
        <v>64.260891060315245</v>
      </c>
      <c r="BD65" s="183">
        <v>6115.8026641967917</v>
      </c>
      <c r="BE65" s="140">
        <v>233.78264838879934</v>
      </c>
      <c r="BF65" s="139">
        <v>9548.4758506088419</v>
      </c>
      <c r="BG65" s="184">
        <v>89966</v>
      </c>
      <c r="BH65" s="216">
        <v>43202</v>
      </c>
      <c r="BI65" s="216">
        <v>298956</v>
      </c>
      <c r="BJ65" s="216">
        <v>-254859</v>
      </c>
      <c r="BK65" s="216">
        <v>138418</v>
      </c>
      <c r="BL65" s="216">
        <v>104003</v>
      </c>
      <c r="BM65" s="151"/>
      <c r="BO65" s="216">
        <v>2575</v>
      </c>
      <c r="BP65" s="216">
        <v>50798</v>
      </c>
      <c r="BQ65" s="216">
        <v>40935</v>
      </c>
      <c r="BR65" s="216">
        <v>17821</v>
      </c>
      <c r="BS65" s="216">
        <v>119904</v>
      </c>
      <c r="BT65" s="216">
        <v>0</v>
      </c>
      <c r="BU65" s="216">
        <v>143018</v>
      </c>
      <c r="BV65" s="184">
        <v>-39</v>
      </c>
      <c r="BW65" s="183">
        <v>-20000</v>
      </c>
      <c r="BX65" s="184">
        <v>14</v>
      </c>
      <c r="BY65" s="183">
        <v>122993</v>
      </c>
      <c r="BZ65" s="183">
        <v>180314</v>
      </c>
      <c r="CA65" s="183">
        <v>47546</v>
      </c>
      <c r="CB65" s="167"/>
      <c r="CC65" s="183">
        <v>-10093</v>
      </c>
      <c r="CD65" s="183">
        <v>-15428</v>
      </c>
      <c r="CE65" s="180">
        <v>143980</v>
      </c>
      <c r="CF65" s="139">
        <v>138418</v>
      </c>
      <c r="CG65" s="216">
        <v>122364</v>
      </c>
      <c r="CH65" s="216">
        <v>5465</v>
      </c>
      <c r="CI65" s="216">
        <v>10589</v>
      </c>
      <c r="CJ65" s="212">
        <v>21</v>
      </c>
      <c r="CK65" s="144"/>
      <c r="CL65" s="130">
        <v>5</v>
      </c>
      <c r="CM65" s="228">
        <v>36567</v>
      </c>
      <c r="CN65" s="138"/>
      <c r="CO65" s="142">
        <v>0.51020847923288259</v>
      </c>
      <c r="CP65" s="142">
        <v>61.328126303843526</v>
      </c>
      <c r="CQ65" s="183">
        <v>420.21931143865021</v>
      </c>
      <c r="CR65" s="144"/>
      <c r="CS65"/>
      <c r="CU65" s="232">
        <v>64.324552969149465</v>
      </c>
      <c r="CV65" s="143">
        <v>5182.3128879652168</v>
      </c>
      <c r="CW65" s="146">
        <v>187.05618293527172</v>
      </c>
      <c r="CX65" s="143">
        <v>10112.171511389428</v>
      </c>
      <c r="CY65" s="131">
        <v>88360</v>
      </c>
      <c r="CZ65" s="229">
        <v>35310</v>
      </c>
      <c r="DA65" s="229">
        <v>297605</v>
      </c>
      <c r="DB65" s="216">
        <v>-262295</v>
      </c>
      <c r="DC65" s="229">
        <v>141422</v>
      </c>
      <c r="DD65" s="229">
        <v>123803</v>
      </c>
      <c r="DE65" s="151"/>
      <c r="DG65" s="229">
        <v>-1076</v>
      </c>
      <c r="DH65" s="229">
        <v>6174</v>
      </c>
      <c r="DI65" s="229">
        <v>8028</v>
      </c>
      <c r="DJ65" s="229">
        <v>16378</v>
      </c>
      <c r="DK65" s="229">
        <v>0</v>
      </c>
      <c r="DL65" s="229">
        <v>0</v>
      </c>
      <c r="DM65" s="229">
        <v>-8350</v>
      </c>
      <c r="DN65" s="131">
        <v>-3682</v>
      </c>
      <c r="DO65" s="130">
        <v>42</v>
      </c>
      <c r="DP65" s="131">
        <v>9</v>
      </c>
      <c r="DQ65" s="130">
        <v>-11981</v>
      </c>
      <c r="DR65" s="130">
        <v>168333</v>
      </c>
      <c r="DS65" s="130">
        <v>6964</v>
      </c>
      <c r="DT65" s="167"/>
      <c r="DU65" s="183">
        <v>12182</v>
      </c>
      <c r="DV65" s="183">
        <v>-17120</v>
      </c>
      <c r="DW65" s="180">
        <v>-43437</v>
      </c>
      <c r="DX65" s="130">
        <v>141422</v>
      </c>
      <c r="DY65" s="229">
        <v>125951</v>
      </c>
      <c r="DZ65" s="229">
        <v>5821</v>
      </c>
      <c r="EA65" s="229">
        <v>9650</v>
      </c>
      <c r="EB65" s="212">
        <v>21</v>
      </c>
      <c r="EC65" s="208"/>
      <c r="ED65" s="183">
        <v>283.69852941176401</v>
      </c>
      <c r="EE65" s="3">
        <v>164648</v>
      </c>
      <c r="EF65" s="183">
        <v>171594</v>
      </c>
      <c r="EG65" s="130">
        <v>176446</v>
      </c>
      <c r="EH65" s="130"/>
      <c r="EI65" s="130"/>
      <c r="EJ65" s="130"/>
      <c r="EK65" s="183">
        <v>-21794</v>
      </c>
      <c r="EL65" s="183">
        <v>1064</v>
      </c>
      <c r="EM65" s="183">
        <v>1911</v>
      </c>
      <c r="EN65" s="226">
        <v>-30514</v>
      </c>
      <c r="EO65" s="226">
        <v>686</v>
      </c>
      <c r="EP65" s="226">
        <v>126262</v>
      </c>
      <c r="EQ65" s="226">
        <v>-50812</v>
      </c>
      <c r="ER65" s="230">
        <v>301</v>
      </c>
      <c r="ES65" s="230">
        <v>110</v>
      </c>
      <c r="ET65" s="3">
        <v>24000</v>
      </c>
      <c r="EU65" s="211">
        <v>-2491</v>
      </c>
      <c r="EV65" s="183">
        <v>15460</v>
      </c>
      <c r="EW65" s="183">
        <v>14982</v>
      </c>
      <c r="EX65" s="130">
        <v>25000</v>
      </c>
      <c r="EY65" s="183">
        <v>-15137</v>
      </c>
      <c r="EZ65" s="3">
        <v>126450</v>
      </c>
      <c r="FA65" s="3">
        <v>88598</v>
      </c>
      <c r="FB65" s="3">
        <v>37852</v>
      </c>
      <c r="FC65" s="3">
        <v>74196</v>
      </c>
      <c r="FD65" s="226">
        <v>141463</v>
      </c>
      <c r="FE65" s="183">
        <v>87686</v>
      </c>
      <c r="FF65" s="183">
        <v>53777</v>
      </c>
      <c r="FG65" s="183">
        <v>6216</v>
      </c>
      <c r="FH65" s="230">
        <v>134206</v>
      </c>
      <c r="FI65" s="130">
        <v>94401</v>
      </c>
      <c r="FJ65" s="130">
        <v>39805</v>
      </c>
      <c r="FK65" s="130">
        <v>6062</v>
      </c>
      <c r="FL65" s="29">
        <v>10379.439050117653</v>
      </c>
      <c r="FM65" s="139">
        <v>16321.991882099759</v>
      </c>
      <c r="FN65" s="139">
        <v>18154.757021358055</v>
      </c>
      <c r="FO65" s="172">
        <f t="shared" si="0"/>
        <v>5997.666666666667</v>
      </c>
      <c r="FP65" s="170">
        <f t="shared" si="1"/>
        <v>164.01855953911087</v>
      </c>
      <c r="FR65" s="175"/>
      <c r="FS65" s="195"/>
      <c r="FV65" s="175">
        <v>9462</v>
      </c>
      <c r="FW65" s="2">
        <f t="shared" si="2"/>
        <v>-9462</v>
      </c>
      <c r="FZ65" s="186"/>
      <c r="GA65" s="2"/>
      <c r="GB65" s="2"/>
    </row>
    <row r="66" spans="1:184" ht="13" x14ac:dyDescent="0.3">
      <c r="A66" s="77">
        <v>208</v>
      </c>
      <c r="B66" s="75" t="s">
        <v>65</v>
      </c>
      <c r="C66" s="179">
        <v>12387</v>
      </c>
      <c r="D66" s="138"/>
      <c r="E66" s="142">
        <v>2.3648293963254594</v>
      </c>
      <c r="F66" s="142">
        <v>66.910135053988839</v>
      </c>
      <c r="G66" s="183">
        <v>-2941.4708969080489</v>
      </c>
      <c r="H66" s="144"/>
      <c r="I66" s="186"/>
      <c r="K66" s="210">
        <v>52.329865375257782</v>
      </c>
      <c r="L66" s="143">
        <v>1447.727456204085</v>
      </c>
      <c r="M66" s="146">
        <v>60.858220056901651</v>
      </c>
      <c r="N66" s="143">
        <v>8682.8126261403086</v>
      </c>
      <c r="O66" s="138">
        <v>42041</v>
      </c>
      <c r="P66" s="143">
        <v>22001</v>
      </c>
      <c r="Q66" s="184">
        <v>86179</v>
      </c>
      <c r="R66" s="184">
        <v>-64178</v>
      </c>
      <c r="S66" s="139">
        <v>39005</v>
      </c>
      <c r="T66" s="138">
        <v>30873</v>
      </c>
      <c r="U66" s="151"/>
      <c r="W66" s="183">
        <v>-91</v>
      </c>
      <c r="X66" s="183">
        <v>510</v>
      </c>
      <c r="Y66" s="184">
        <v>6119</v>
      </c>
      <c r="Z66" s="130">
        <v>7189</v>
      </c>
      <c r="AA66" s="130">
        <v>0</v>
      </c>
      <c r="AB66" s="130">
        <v>0</v>
      </c>
      <c r="AC66" s="184">
        <v>-1070</v>
      </c>
      <c r="AD66" s="184">
        <v>54</v>
      </c>
      <c r="AE66" s="183">
        <v>0</v>
      </c>
      <c r="AF66" s="183">
        <v>0</v>
      </c>
      <c r="AG66" s="183">
        <v>-1016</v>
      </c>
      <c r="AH66" s="183">
        <v>17271</v>
      </c>
      <c r="AI66" s="183">
        <v>5407</v>
      </c>
      <c r="AJ66" s="167"/>
      <c r="AK66" s="183">
        <v>-327</v>
      </c>
      <c r="AL66" s="183">
        <v>-2479</v>
      </c>
      <c r="AM66" s="180">
        <v>-7474</v>
      </c>
      <c r="AN66" s="139">
        <v>39005</v>
      </c>
      <c r="AO66" s="138">
        <v>31797</v>
      </c>
      <c r="AP66" s="184">
        <v>2129</v>
      </c>
      <c r="AQ66" s="138">
        <v>5079</v>
      </c>
      <c r="AR66" s="109">
        <v>20</v>
      </c>
      <c r="AS66" s="144"/>
      <c r="AT66" s="139">
        <v>48</v>
      </c>
      <c r="AU66" s="228">
        <v>12373</v>
      </c>
      <c r="AV66" s="138"/>
      <c r="AW66" s="224">
        <v>0.93330473943812997</v>
      </c>
      <c r="AX66" s="225">
        <v>65.392402673017003</v>
      </c>
      <c r="AY66" s="139">
        <v>-3105.633233653924</v>
      </c>
      <c r="AZ66" s="144"/>
      <c r="BA66"/>
      <c r="BC66" s="189">
        <v>51.906448348817953</v>
      </c>
      <c r="BD66" s="183">
        <v>1436.3533500363694</v>
      </c>
      <c r="BE66" s="140">
        <v>63.166105127855573</v>
      </c>
      <c r="BF66" s="139">
        <v>8299.8464398286596</v>
      </c>
      <c r="BG66" s="184">
        <v>42897</v>
      </c>
      <c r="BH66" s="216">
        <v>21961</v>
      </c>
      <c r="BI66" s="216">
        <v>90507</v>
      </c>
      <c r="BJ66" s="216">
        <v>-68249</v>
      </c>
      <c r="BK66" s="216">
        <v>41540</v>
      </c>
      <c r="BL66" s="216">
        <v>31822</v>
      </c>
      <c r="BM66" s="151"/>
      <c r="BO66" s="216">
        <v>1</v>
      </c>
      <c r="BP66" s="216">
        <v>713</v>
      </c>
      <c r="BQ66" s="216">
        <v>5827</v>
      </c>
      <c r="BR66" s="216">
        <v>5866</v>
      </c>
      <c r="BS66" s="216">
        <v>0</v>
      </c>
      <c r="BT66" s="216">
        <v>0</v>
      </c>
      <c r="BU66" s="216">
        <v>-39</v>
      </c>
      <c r="BV66" s="184">
        <v>54</v>
      </c>
      <c r="BW66" s="183">
        <v>0</v>
      </c>
      <c r="BX66" s="183">
        <v>0</v>
      </c>
      <c r="BY66" s="183">
        <v>15</v>
      </c>
      <c r="BZ66" s="183">
        <v>17286</v>
      </c>
      <c r="CA66" s="183">
        <v>5454</v>
      </c>
      <c r="CB66" s="167"/>
      <c r="CC66" s="183">
        <v>873</v>
      </c>
      <c r="CD66" s="183">
        <v>-2884</v>
      </c>
      <c r="CE66" s="180">
        <v>-2120</v>
      </c>
      <c r="CF66" s="139">
        <v>41540</v>
      </c>
      <c r="CG66" s="216">
        <v>34278</v>
      </c>
      <c r="CH66" s="216">
        <v>1911</v>
      </c>
      <c r="CI66" s="216">
        <v>5351</v>
      </c>
      <c r="CJ66" s="212">
        <v>21</v>
      </c>
      <c r="CK66" s="144"/>
      <c r="CL66" s="130">
        <v>39</v>
      </c>
      <c r="CM66" s="228">
        <v>12400</v>
      </c>
      <c r="CN66" s="138"/>
      <c r="CO66" s="142">
        <v>2.7889087656529519</v>
      </c>
      <c r="CP66" s="142">
        <v>56.631880981860348</v>
      </c>
      <c r="CQ66" s="183">
        <v>-2659.1129032258063</v>
      </c>
      <c r="CR66" s="144"/>
      <c r="CS66"/>
      <c r="CU66" s="232">
        <v>55.07679213896089</v>
      </c>
      <c r="CV66" s="143">
        <v>1578.0645161290322</v>
      </c>
      <c r="CW66" s="146">
        <v>70.050902813876164</v>
      </c>
      <c r="CX66" s="143">
        <v>8222.5</v>
      </c>
      <c r="CY66" s="131">
        <v>43109</v>
      </c>
      <c r="CZ66" s="229">
        <v>21216</v>
      </c>
      <c r="DA66" s="229">
        <v>93252</v>
      </c>
      <c r="DB66" s="216">
        <v>-72036</v>
      </c>
      <c r="DC66" s="229">
        <v>42970</v>
      </c>
      <c r="DD66" s="229">
        <v>37804</v>
      </c>
      <c r="DE66" s="151"/>
      <c r="DG66" s="229">
        <v>-10</v>
      </c>
      <c r="DH66" s="229">
        <v>472</v>
      </c>
      <c r="DI66" s="229">
        <v>9200</v>
      </c>
      <c r="DJ66" s="229">
        <v>5729</v>
      </c>
      <c r="DK66" s="229">
        <v>0</v>
      </c>
      <c r="DL66" s="229">
        <v>0</v>
      </c>
      <c r="DM66" s="229">
        <v>3471</v>
      </c>
      <c r="DN66" s="131">
        <v>54</v>
      </c>
      <c r="DO66" s="130">
        <v>-2500</v>
      </c>
      <c r="DP66" s="130">
        <v>0</v>
      </c>
      <c r="DQ66" s="130">
        <v>1025</v>
      </c>
      <c r="DR66" s="130">
        <v>18311</v>
      </c>
      <c r="DS66" s="130">
        <v>8729</v>
      </c>
      <c r="DT66" s="167"/>
      <c r="DU66" s="183">
        <v>1490</v>
      </c>
      <c r="DV66" s="183">
        <v>-3200</v>
      </c>
      <c r="DW66" s="180">
        <v>5028</v>
      </c>
      <c r="DX66" s="130">
        <v>42970</v>
      </c>
      <c r="DY66" s="229">
        <v>36015</v>
      </c>
      <c r="DZ66" s="229">
        <v>2079</v>
      </c>
      <c r="EA66" s="229">
        <v>4876</v>
      </c>
      <c r="EB66" s="212">
        <v>21</v>
      </c>
      <c r="EC66" s="208"/>
      <c r="ED66" s="183">
        <v>110.433823529411</v>
      </c>
      <c r="EE66" s="3">
        <v>33066</v>
      </c>
      <c r="EF66" s="183">
        <v>35046</v>
      </c>
      <c r="EG66" s="130">
        <v>37063</v>
      </c>
      <c r="EH66" s="130"/>
      <c r="EI66" s="130"/>
      <c r="EJ66" s="130"/>
      <c r="EK66" s="183">
        <v>-16586</v>
      </c>
      <c r="EL66" s="183">
        <v>1967</v>
      </c>
      <c r="EM66" s="183">
        <v>1738</v>
      </c>
      <c r="EN66" s="226">
        <v>-9345</v>
      </c>
      <c r="EO66" s="226">
        <v>762</v>
      </c>
      <c r="EP66" s="226">
        <v>1009</v>
      </c>
      <c r="EQ66" s="226">
        <v>-4851</v>
      </c>
      <c r="ER66" s="230">
        <v>229</v>
      </c>
      <c r="ES66" s="230">
        <v>921</v>
      </c>
      <c r="ET66" s="3">
        <v>10000</v>
      </c>
      <c r="EU66" s="211">
        <v>0</v>
      </c>
      <c r="EV66" s="183">
        <v>6000</v>
      </c>
      <c r="EW66" s="183">
        <v>-2000</v>
      </c>
      <c r="EX66" s="130">
        <v>0</v>
      </c>
      <c r="EY66" s="183">
        <v>-2000</v>
      </c>
      <c r="EZ66" s="3">
        <v>43830</v>
      </c>
      <c r="FA66" s="3">
        <v>23946</v>
      </c>
      <c r="FB66" s="3">
        <v>19884</v>
      </c>
      <c r="FC66" s="3">
        <v>4653</v>
      </c>
      <c r="FD66" s="226">
        <v>44946</v>
      </c>
      <c r="FE66" s="183">
        <v>26746</v>
      </c>
      <c r="FF66" s="183">
        <v>18200</v>
      </c>
      <c r="FG66" s="183">
        <v>4455</v>
      </c>
      <c r="FH66" s="230">
        <v>39746</v>
      </c>
      <c r="FI66" s="130">
        <v>23230</v>
      </c>
      <c r="FJ66" s="130">
        <v>16516</v>
      </c>
      <c r="FK66" s="130">
        <v>4056</v>
      </c>
      <c r="FL66" s="29">
        <v>5524.9051424880918</v>
      </c>
      <c r="FM66" s="139">
        <v>5722.8643013012206</v>
      </c>
      <c r="FN66" s="139">
        <v>5349.2741935483873</v>
      </c>
      <c r="FO66" s="172">
        <f t="shared" si="0"/>
        <v>1715</v>
      </c>
      <c r="FP66" s="170">
        <f t="shared" si="1"/>
        <v>138.30645161290323</v>
      </c>
      <c r="FR66" s="175"/>
      <c r="FS66" s="195"/>
      <c r="FV66" s="175">
        <v>3053</v>
      </c>
      <c r="FW66" s="2">
        <f t="shared" si="2"/>
        <v>-3053</v>
      </c>
      <c r="FZ66" s="186"/>
      <c r="GA66" s="2"/>
      <c r="GB66" s="2"/>
    </row>
    <row r="67" spans="1:184" ht="13" x14ac:dyDescent="0.3">
      <c r="A67" s="77">
        <v>211</v>
      </c>
      <c r="B67" s="75" t="s">
        <v>66</v>
      </c>
      <c r="C67" s="179">
        <v>31676</v>
      </c>
      <c r="D67" s="138"/>
      <c r="E67" s="142">
        <v>0.77373790217106986</v>
      </c>
      <c r="F67" s="142">
        <v>43.059321952113955</v>
      </c>
      <c r="G67" s="183">
        <v>-1385.2127793913373</v>
      </c>
      <c r="H67" s="144"/>
      <c r="I67" s="186"/>
      <c r="K67" s="210">
        <v>58.942482789251613</v>
      </c>
      <c r="L67" s="143">
        <v>1033.3059729763859</v>
      </c>
      <c r="M67" s="146">
        <v>50.735392168104191</v>
      </c>
      <c r="N67" s="143">
        <v>7433.7984594014397</v>
      </c>
      <c r="O67" s="138">
        <v>85840</v>
      </c>
      <c r="P67" s="143">
        <v>44427</v>
      </c>
      <c r="Q67" s="184">
        <v>200379</v>
      </c>
      <c r="R67" s="184">
        <v>-155952</v>
      </c>
      <c r="S67" s="139">
        <v>125371</v>
      </c>
      <c r="T67" s="138">
        <v>37444</v>
      </c>
      <c r="U67" s="151"/>
      <c r="W67" s="183">
        <v>-795</v>
      </c>
      <c r="X67" s="183">
        <v>1937</v>
      </c>
      <c r="Y67" s="184">
        <v>8005</v>
      </c>
      <c r="Z67" s="130">
        <v>11827</v>
      </c>
      <c r="AA67" s="131">
        <v>0</v>
      </c>
      <c r="AB67" s="130">
        <v>0</v>
      </c>
      <c r="AC67" s="184">
        <v>-3822</v>
      </c>
      <c r="AD67" s="184">
        <v>7</v>
      </c>
      <c r="AE67" s="183">
        <v>2200</v>
      </c>
      <c r="AF67" s="184">
        <v>0</v>
      </c>
      <c r="AG67" s="183">
        <v>-1615</v>
      </c>
      <c r="AH67" s="183">
        <v>53297</v>
      </c>
      <c r="AI67" s="183">
        <v>6374</v>
      </c>
      <c r="AJ67" s="167"/>
      <c r="AK67" s="183">
        <v>-1829</v>
      </c>
      <c r="AL67" s="183">
        <v>-10600</v>
      </c>
      <c r="AM67" s="180">
        <v>-12741</v>
      </c>
      <c r="AN67" s="139">
        <v>125371</v>
      </c>
      <c r="AO67" s="138">
        <v>114129</v>
      </c>
      <c r="AP67" s="184">
        <v>4094</v>
      </c>
      <c r="AQ67" s="138">
        <v>7148</v>
      </c>
      <c r="AR67" s="109">
        <v>21</v>
      </c>
      <c r="AS67" s="144"/>
      <c r="AT67" s="139">
        <v>134</v>
      </c>
      <c r="AU67" s="228">
        <v>31868</v>
      </c>
      <c r="AV67" s="138"/>
      <c r="AW67" s="224">
        <v>1.3930700893177845</v>
      </c>
      <c r="AX67" s="225">
        <v>50.054675963138116</v>
      </c>
      <c r="AY67" s="139">
        <v>-1667.4406928580395</v>
      </c>
      <c r="AZ67" s="144"/>
      <c r="BA67"/>
      <c r="BC67" s="189">
        <v>54.760807864752579</v>
      </c>
      <c r="BD67" s="183">
        <v>1416.6875862934605</v>
      </c>
      <c r="BE67" s="140">
        <v>69.831023099513089</v>
      </c>
      <c r="BF67" s="139">
        <v>7404.8889167817242</v>
      </c>
      <c r="BG67" s="184">
        <v>87922</v>
      </c>
      <c r="BH67" s="216">
        <v>44354</v>
      </c>
      <c r="BI67" s="216">
        <v>203175</v>
      </c>
      <c r="BJ67" s="216">
        <v>-158821</v>
      </c>
      <c r="BK67" s="216">
        <v>131061</v>
      </c>
      <c r="BL67" s="216">
        <v>38573</v>
      </c>
      <c r="BM67" s="151"/>
      <c r="BO67" s="216">
        <v>-720</v>
      </c>
      <c r="BP67" s="216">
        <v>3662</v>
      </c>
      <c r="BQ67" s="216">
        <v>13755</v>
      </c>
      <c r="BR67" s="216">
        <v>13335</v>
      </c>
      <c r="BS67" s="216">
        <v>0</v>
      </c>
      <c r="BT67" s="216">
        <v>0</v>
      </c>
      <c r="BU67" s="216">
        <v>420</v>
      </c>
      <c r="BV67" s="184">
        <v>7</v>
      </c>
      <c r="BW67" s="183">
        <v>0</v>
      </c>
      <c r="BX67" s="184">
        <v>0</v>
      </c>
      <c r="BY67" s="183">
        <v>427</v>
      </c>
      <c r="BZ67" s="183">
        <v>53725</v>
      </c>
      <c r="CA67" s="183">
        <v>12576</v>
      </c>
      <c r="CB67" s="167"/>
      <c r="CC67" s="183">
        <v>3800</v>
      </c>
      <c r="CD67" s="183">
        <v>-10141</v>
      </c>
      <c r="CE67" s="180">
        <v>-8609</v>
      </c>
      <c r="CF67" s="139">
        <v>131061</v>
      </c>
      <c r="CG67" s="216">
        <v>119533</v>
      </c>
      <c r="CH67" s="216">
        <v>4316</v>
      </c>
      <c r="CI67" s="216">
        <v>7212</v>
      </c>
      <c r="CJ67" s="212">
        <v>21</v>
      </c>
      <c r="CK67" s="144"/>
      <c r="CL67" s="130">
        <v>49</v>
      </c>
      <c r="CM67" s="228">
        <v>32214</v>
      </c>
      <c r="CN67" s="138"/>
      <c r="CO67" s="142">
        <v>2.5441559466498305</v>
      </c>
      <c r="CP67" s="142">
        <v>48.698694247148566</v>
      </c>
      <c r="CQ67" s="183">
        <v>-1415.4094493077544</v>
      </c>
      <c r="CR67" s="144"/>
      <c r="CS67"/>
      <c r="CU67" s="232">
        <v>56.283088139951026</v>
      </c>
      <c r="CV67" s="143">
        <v>1883.9634941329857</v>
      </c>
      <c r="CW67" s="146">
        <v>89.964423361992289</v>
      </c>
      <c r="CX67" s="143">
        <v>7643.5400757434654</v>
      </c>
      <c r="CY67" s="131">
        <v>88196</v>
      </c>
      <c r="CZ67" s="229">
        <v>46892</v>
      </c>
      <c r="DA67" s="229">
        <v>206816</v>
      </c>
      <c r="DB67" s="216">
        <v>-159924</v>
      </c>
      <c r="DC67" s="229">
        <v>137678</v>
      </c>
      <c r="DD67" s="229">
        <v>51539</v>
      </c>
      <c r="DE67" s="151"/>
      <c r="DG67" s="229">
        <v>-622</v>
      </c>
      <c r="DH67" s="229">
        <v>2831</v>
      </c>
      <c r="DI67" s="229">
        <v>31502</v>
      </c>
      <c r="DJ67" s="229">
        <v>12710</v>
      </c>
      <c r="DK67" s="229">
        <v>0</v>
      </c>
      <c r="DL67" s="229">
        <v>0</v>
      </c>
      <c r="DM67" s="229">
        <v>18792</v>
      </c>
      <c r="DN67" s="131">
        <v>-2506</v>
      </c>
      <c r="DO67" s="130">
        <v>-5300</v>
      </c>
      <c r="DP67" s="131">
        <v>0</v>
      </c>
      <c r="DQ67" s="130">
        <v>10986</v>
      </c>
      <c r="DR67" s="130">
        <v>64711</v>
      </c>
      <c r="DS67" s="130">
        <v>30182</v>
      </c>
      <c r="DT67" s="167"/>
      <c r="DU67" s="183">
        <v>131</v>
      </c>
      <c r="DV67" s="183">
        <v>-11936</v>
      </c>
      <c r="DW67" s="180">
        <v>5805</v>
      </c>
      <c r="DX67" s="130">
        <v>137678</v>
      </c>
      <c r="DY67" s="229">
        <v>126025</v>
      </c>
      <c r="DZ67" s="229">
        <v>4922</v>
      </c>
      <c r="EA67" s="229">
        <v>6731</v>
      </c>
      <c r="EB67" s="212">
        <v>21</v>
      </c>
      <c r="EC67" s="208"/>
      <c r="ED67" s="183">
        <v>40.926470588235297</v>
      </c>
      <c r="EE67" s="3">
        <v>85317</v>
      </c>
      <c r="EF67" s="183">
        <v>87101</v>
      </c>
      <c r="EG67" s="130">
        <v>90169</v>
      </c>
      <c r="EH67" s="130"/>
      <c r="EI67" s="130"/>
      <c r="EJ67" s="130"/>
      <c r="EK67" s="183">
        <v>-21177</v>
      </c>
      <c r="EL67" s="183">
        <v>20</v>
      </c>
      <c r="EM67" s="183">
        <v>2042</v>
      </c>
      <c r="EN67" s="226">
        <v>-22477</v>
      </c>
      <c r="EO67" s="226">
        <v>0</v>
      </c>
      <c r="EP67" s="226">
        <v>1292</v>
      </c>
      <c r="EQ67" s="226">
        <v>-26413</v>
      </c>
      <c r="ER67" s="230">
        <v>686</v>
      </c>
      <c r="ES67" s="230">
        <v>1350</v>
      </c>
      <c r="ET67" s="3">
        <v>5000</v>
      </c>
      <c r="EU67" s="211">
        <v>0</v>
      </c>
      <c r="EV67" s="183">
        <v>31000</v>
      </c>
      <c r="EW67" s="183">
        <v>0</v>
      </c>
      <c r="EX67" s="130">
        <v>16000</v>
      </c>
      <c r="EY67" s="183">
        <v>0</v>
      </c>
      <c r="EZ67" s="3">
        <v>47983</v>
      </c>
      <c r="FA67" s="3">
        <v>38842</v>
      </c>
      <c r="FB67" s="3">
        <v>9141</v>
      </c>
      <c r="FC67" s="3">
        <v>49</v>
      </c>
      <c r="FD67" s="226">
        <v>68842</v>
      </c>
      <c r="FE67" s="183">
        <v>57355</v>
      </c>
      <c r="FF67" s="183">
        <v>11487</v>
      </c>
      <c r="FG67" s="183">
        <v>39</v>
      </c>
      <c r="FH67" s="230">
        <v>72906</v>
      </c>
      <c r="FI67" s="130">
        <v>61083</v>
      </c>
      <c r="FJ67" s="130">
        <v>11823</v>
      </c>
      <c r="FK67" s="130">
        <v>28</v>
      </c>
      <c r="FL67" s="29">
        <v>3200.6250789241062</v>
      </c>
      <c r="FM67" s="139">
        <v>4317.4657964101925</v>
      </c>
      <c r="FN67" s="139">
        <v>4656.4537157757495</v>
      </c>
      <c r="FO67" s="172">
        <f t="shared" ref="FO67:FO130" si="3">(DY67/EB67)</f>
        <v>6001.1904761904761</v>
      </c>
      <c r="FP67" s="170">
        <f t="shared" ref="FP67:FP130" si="4">(FO67/CM67)*1000</f>
        <v>186.29137878532552</v>
      </c>
      <c r="FR67" s="175"/>
      <c r="FS67" s="195"/>
      <c r="FV67" s="175">
        <v>7141</v>
      </c>
      <c r="FW67" s="2">
        <f t="shared" ref="FW67:FW130" si="5">FV67*-1</f>
        <v>-7141</v>
      </c>
      <c r="FZ67" s="186"/>
      <c r="GA67" s="2"/>
      <c r="GB67" s="2"/>
    </row>
    <row r="68" spans="1:184" ht="13" x14ac:dyDescent="0.3">
      <c r="A68" s="77">
        <v>213</v>
      </c>
      <c r="B68" s="75" t="s">
        <v>67</v>
      </c>
      <c r="C68" s="179">
        <v>5452</v>
      </c>
      <c r="D68" s="138"/>
      <c r="E68" s="142">
        <v>0.59160756501182032</v>
      </c>
      <c r="F68" s="142">
        <v>64.363850125236411</v>
      </c>
      <c r="G68" s="183">
        <v>-3666.5443873807776</v>
      </c>
      <c r="H68" s="144"/>
      <c r="I68" s="186"/>
      <c r="K68" s="210">
        <v>48.691799548965214</v>
      </c>
      <c r="L68" s="143">
        <v>150.95377842993395</v>
      </c>
      <c r="M68" s="146">
        <v>7.1966411921132707</v>
      </c>
      <c r="N68" s="143">
        <v>7656.0895084372705</v>
      </c>
      <c r="O68" s="138">
        <v>7872</v>
      </c>
      <c r="P68" s="143">
        <v>2946</v>
      </c>
      <c r="Q68" s="184">
        <v>38304</v>
      </c>
      <c r="R68" s="184">
        <v>-35358</v>
      </c>
      <c r="S68" s="139">
        <v>18064</v>
      </c>
      <c r="T68" s="138">
        <v>18116</v>
      </c>
      <c r="U68" s="151"/>
      <c r="W68" s="183">
        <v>-96</v>
      </c>
      <c r="X68" s="183">
        <v>161</v>
      </c>
      <c r="Y68" s="184">
        <v>887</v>
      </c>
      <c r="Z68" s="130">
        <v>1669</v>
      </c>
      <c r="AA68" s="130">
        <v>0</v>
      </c>
      <c r="AB68" s="131">
        <v>0</v>
      </c>
      <c r="AC68" s="184">
        <v>-782</v>
      </c>
      <c r="AD68" s="183">
        <v>0</v>
      </c>
      <c r="AE68" s="184">
        <v>0</v>
      </c>
      <c r="AF68" s="183">
        <v>0</v>
      </c>
      <c r="AG68" s="183">
        <v>-782</v>
      </c>
      <c r="AH68" s="183">
        <v>5980</v>
      </c>
      <c r="AI68" s="183">
        <v>883</v>
      </c>
      <c r="AJ68" s="167"/>
      <c r="AK68" s="183">
        <v>638</v>
      </c>
      <c r="AL68" s="183">
        <v>-1578</v>
      </c>
      <c r="AM68" s="180">
        <v>-764</v>
      </c>
      <c r="AN68" s="139">
        <v>18064</v>
      </c>
      <c r="AO68" s="138">
        <v>13689</v>
      </c>
      <c r="AP68" s="184">
        <v>2568</v>
      </c>
      <c r="AQ68" s="138">
        <v>1807</v>
      </c>
      <c r="AR68" s="109">
        <v>20.75</v>
      </c>
      <c r="AS68" s="144"/>
      <c r="AT68" s="139">
        <v>187</v>
      </c>
      <c r="AU68" s="228">
        <v>5356</v>
      </c>
      <c r="AV68" s="138"/>
      <c r="AW68" s="224">
        <v>0.31262654895926134</v>
      </c>
      <c r="AX68" s="225">
        <v>65.543437382474607</v>
      </c>
      <c r="AY68" s="139">
        <v>-3691.1874533233758</v>
      </c>
      <c r="AZ68" s="144"/>
      <c r="BA68"/>
      <c r="BC68" s="189">
        <v>46.554210204041318</v>
      </c>
      <c r="BD68" s="183">
        <v>476.2882748319642</v>
      </c>
      <c r="BE68" s="140">
        <v>22.069566247926048</v>
      </c>
      <c r="BF68" s="139">
        <v>7877.1471247199406</v>
      </c>
      <c r="BG68" s="184">
        <v>8167</v>
      </c>
      <c r="BH68" s="216">
        <v>3000</v>
      </c>
      <c r="BI68" s="216">
        <v>39199</v>
      </c>
      <c r="BJ68" s="216">
        <v>-36199</v>
      </c>
      <c r="BK68" s="216">
        <v>18513</v>
      </c>
      <c r="BL68" s="216">
        <v>18372</v>
      </c>
      <c r="BM68" s="151"/>
      <c r="BO68" s="216">
        <v>-104</v>
      </c>
      <c r="BP68" s="216">
        <v>261</v>
      </c>
      <c r="BQ68" s="216">
        <v>843</v>
      </c>
      <c r="BR68" s="216">
        <v>1672</v>
      </c>
      <c r="BS68" s="216">
        <v>0</v>
      </c>
      <c r="BT68" s="216">
        <v>0</v>
      </c>
      <c r="BU68" s="216">
        <v>-829</v>
      </c>
      <c r="BV68" s="183">
        <v>0</v>
      </c>
      <c r="BW68" s="184">
        <v>0</v>
      </c>
      <c r="BX68" s="183">
        <v>0</v>
      </c>
      <c r="BY68" s="183">
        <v>-829</v>
      </c>
      <c r="BZ68" s="183">
        <v>5151</v>
      </c>
      <c r="CA68" s="183">
        <v>1058</v>
      </c>
      <c r="CB68" s="167"/>
      <c r="CC68" s="183">
        <v>548</v>
      </c>
      <c r="CD68" s="183">
        <v>-1706</v>
      </c>
      <c r="CE68" s="180">
        <v>-86</v>
      </c>
      <c r="CF68" s="139">
        <v>18513</v>
      </c>
      <c r="CG68" s="216">
        <v>14009</v>
      </c>
      <c r="CH68" s="216">
        <v>2660</v>
      </c>
      <c r="CI68" s="216">
        <v>1844</v>
      </c>
      <c r="CJ68" s="212">
        <v>20.75</v>
      </c>
      <c r="CK68" s="144"/>
      <c r="CL68" s="130">
        <v>151</v>
      </c>
      <c r="CM68" s="228">
        <v>5312</v>
      </c>
      <c r="CN68" s="138"/>
      <c r="CO68" s="142">
        <v>2.2611816675869685</v>
      </c>
      <c r="CP68" s="142">
        <v>50.217900656044989</v>
      </c>
      <c r="CQ68" s="183">
        <v>-2826.6189759036147</v>
      </c>
      <c r="CR68" s="144"/>
      <c r="CS68"/>
      <c r="CU68" s="232">
        <v>53.76740716180371</v>
      </c>
      <c r="CV68" s="143">
        <v>415.47439759036143</v>
      </c>
      <c r="CW68" s="146">
        <v>19.332701353556686</v>
      </c>
      <c r="CX68" s="143">
        <v>7844.1265060240967</v>
      </c>
      <c r="CY68" s="131">
        <v>8104</v>
      </c>
      <c r="CZ68" s="229">
        <v>3205</v>
      </c>
      <c r="DA68" s="229">
        <v>38895</v>
      </c>
      <c r="DB68" s="216">
        <v>-35690</v>
      </c>
      <c r="DC68" s="229">
        <v>19437</v>
      </c>
      <c r="DD68" s="229">
        <v>20038</v>
      </c>
      <c r="DE68" s="151"/>
      <c r="DG68" s="229">
        <v>-80</v>
      </c>
      <c r="DH68" s="229">
        <v>293</v>
      </c>
      <c r="DI68" s="229">
        <v>3998</v>
      </c>
      <c r="DJ68" s="229">
        <v>1623</v>
      </c>
      <c r="DK68" s="229">
        <v>0</v>
      </c>
      <c r="DL68" s="229">
        <v>0</v>
      </c>
      <c r="DM68" s="229">
        <v>2375</v>
      </c>
      <c r="DN68" s="130">
        <v>0</v>
      </c>
      <c r="DO68" s="131">
        <v>0</v>
      </c>
      <c r="DP68" s="130">
        <v>0</v>
      </c>
      <c r="DQ68" s="130">
        <v>2375</v>
      </c>
      <c r="DR68" s="130">
        <v>7528</v>
      </c>
      <c r="DS68" s="130">
        <v>3685</v>
      </c>
      <c r="DT68" s="167"/>
      <c r="DU68" s="183">
        <v>-389</v>
      </c>
      <c r="DV68" s="183">
        <v>-1714</v>
      </c>
      <c r="DW68" s="180">
        <v>4792</v>
      </c>
      <c r="DX68" s="130">
        <v>19437</v>
      </c>
      <c r="DY68" s="229">
        <v>14676</v>
      </c>
      <c r="DZ68" s="229">
        <v>2981</v>
      </c>
      <c r="EA68" s="229">
        <v>1780</v>
      </c>
      <c r="EB68" s="212">
        <v>21.5</v>
      </c>
      <c r="EC68" s="208"/>
      <c r="ED68" s="183">
        <v>102.375</v>
      </c>
      <c r="EE68" s="3">
        <v>27548</v>
      </c>
      <c r="EF68" s="183">
        <v>28049</v>
      </c>
      <c r="EG68" s="130">
        <v>27980</v>
      </c>
      <c r="EH68" s="130"/>
      <c r="EI68" s="130"/>
      <c r="EJ68" s="130"/>
      <c r="EK68" s="183">
        <v>-1745</v>
      </c>
      <c r="EL68" s="183">
        <v>90</v>
      </c>
      <c r="EM68" s="183">
        <v>8</v>
      </c>
      <c r="EN68" s="226">
        <v>-1162</v>
      </c>
      <c r="EO68" s="226">
        <v>6</v>
      </c>
      <c r="EP68" s="226">
        <v>12</v>
      </c>
      <c r="EQ68" s="226">
        <v>-962</v>
      </c>
      <c r="ER68" s="230">
        <v>14</v>
      </c>
      <c r="ES68" s="230">
        <v>2055</v>
      </c>
      <c r="ET68" s="3">
        <v>0</v>
      </c>
      <c r="EU68" s="211">
        <v>1100</v>
      </c>
      <c r="EV68" s="183">
        <v>0</v>
      </c>
      <c r="EW68" s="183">
        <v>2100</v>
      </c>
      <c r="EX68" s="130">
        <v>0</v>
      </c>
      <c r="EY68" s="183">
        <v>-2100</v>
      </c>
      <c r="EZ68" s="3">
        <v>21350</v>
      </c>
      <c r="FA68" s="3">
        <v>11444</v>
      </c>
      <c r="FB68" s="3">
        <v>9906</v>
      </c>
      <c r="FC68" s="3">
        <v>1268</v>
      </c>
      <c r="FD68" s="226">
        <v>21743</v>
      </c>
      <c r="FE68" s="183">
        <v>9730</v>
      </c>
      <c r="FF68" s="183">
        <v>12013</v>
      </c>
      <c r="FG68" s="183">
        <v>1153</v>
      </c>
      <c r="FH68" s="230">
        <v>17929</v>
      </c>
      <c r="FI68" s="130">
        <v>8267</v>
      </c>
      <c r="FJ68" s="130">
        <v>9662</v>
      </c>
      <c r="FK68" s="130">
        <v>1142</v>
      </c>
      <c r="FL68" s="29">
        <v>5576.8525311812182</v>
      </c>
      <c r="FM68" s="139">
        <v>5752.987303958178</v>
      </c>
      <c r="FN68" s="139">
        <v>5239.2695783132522</v>
      </c>
      <c r="FO68" s="172">
        <f t="shared" si="3"/>
        <v>682.60465116279067</v>
      </c>
      <c r="FP68" s="170">
        <f t="shared" si="4"/>
        <v>128.50238161950125</v>
      </c>
      <c r="FR68" s="175"/>
      <c r="FS68" s="195"/>
      <c r="FV68" s="175">
        <v>1782</v>
      </c>
      <c r="FW68" s="2">
        <f t="shared" si="5"/>
        <v>-1782</v>
      </c>
      <c r="FZ68" s="186"/>
      <c r="GA68" s="2"/>
      <c r="GB68" s="2"/>
    </row>
    <row r="69" spans="1:184" ht="13" x14ac:dyDescent="0.3">
      <c r="A69" s="77">
        <v>214</v>
      </c>
      <c r="B69" s="75" t="s">
        <v>68</v>
      </c>
      <c r="C69" s="179">
        <v>11471</v>
      </c>
      <c r="D69" s="138"/>
      <c r="E69" s="142">
        <v>0.22130574584090593</v>
      </c>
      <c r="F69" s="142">
        <v>70.447629203839057</v>
      </c>
      <c r="G69" s="183">
        <v>-4361.6947083950827</v>
      </c>
      <c r="H69" s="144"/>
      <c r="I69" s="186"/>
      <c r="K69" s="210">
        <v>22.269608752086036</v>
      </c>
      <c r="L69" s="143">
        <v>108.8832708569436</v>
      </c>
      <c r="M69" s="146">
        <v>5.0251319981040776</v>
      </c>
      <c r="N69" s="143">
        <v>7908.7263534129543</v>
      </c>
      <c r="O69" s="138">
        <v>21043</v>
      </c>
      <c r="P69" s="143">
        <v>9896</v>
      </c>
      <c r="Q69" s="184">
        <v>76464</v>
      </c>
      <c r="R69" s="184">
        <v>-66568</v>
      </c>
      <c r="S69" s="139">
        <v>39778</v>
      </c>
      <c r="T69" s="138">
        <v>27313</v>
      </c>
      <c r="U69" s="151"/>
      <c r="W69" s="183">
        <v>-182</v>
      </c>
      <c r="X69" s="183">
        <v>1059</v>
      </c>
      <c r="Y69" s="184">
        <v>1400</v>
      </c>
      <c r="Z69" s="130">
        <v>4610</v>
      </c>
      <c r="AA69" s="130">
        <v>0</v>
      </c>
      <c r="AB69" s="130">
        <v>0</v>
      </c>
      <c r="AC69" s="184">
        <v>-3210</v>
      </c>
      <c r="AD69" s="183">
        <v>0</v>
      </c>
      <c r="AE69" s="183">
        <v>0</v>
      </c>
      <c r="AF69" s="183">
        <v>0</v>
      </c>
      <c r="AG69" s="183">
        <v>-3210</v>
      </c>
      <c r="AH69" s="183">
        <v>-23</v>
      </c>
      <c r="AI69" s="183">
        <v>1275</v>
      </c>
      <c r="AJ69" s="167"/>
      <c r="AK69" s="183">
        <v>1112</v>
      </c>
      <c r="AL69" s="183">
        <v>-6970</v>
      </c>
      <c r="AM69" s="180">
        <v>-5032</v>
      </c>
      <c r="AN69" s="139">
        <v>39778</v>
      </c>
      <c r="AO69" s="138">
        <v>33790</v>
      </c>
      <c r="AP69" s="184">
        <v>2546</v>
      </c>
      <c r="AQ69" s="138">
        <v>3442</v>
      </c>
      <c r="AR69" s="109">
        <v>21.5</v>
      </c>
      <c r="AS69" s="144"/>
      <c r="AT69" s="139">
        <v>209</v>
      </c>
      <c r="AU69" s="228">
        <v>11286</v>
      </c>
      <c r="AV69" s="138"/>
      <c r="AW69" s="224">
        <v>3.2733224222585927E-2</v>
      </c>
      <c r="AX69" s="225">
        <v>81.324300814508263</v>
      </c>
      <c r="AY69" s="139">
        <v>-5072.8335991493886</v>
      </c>
      <c r="AZ69" s="144"/>
      <c r="BA69"/>
      <c r="BC69" s="189">
        <v>16.228887988109715</v>
      </c>
      <c r="BD69" s="183">
        <v>97.111465532518167</v>
      </c>
      <c r="BE69" s="140">
        <v>4.3671058808117635</v>
      </c>
      <c r="BF69" s="139">
        <v>8116.5160375686692</v>
      </c>
      <c r="BG69" s="184">
        <v>20468</v>
      </c>
      <c r="BH69" s="216">
        <v>8978</v>
      </c>
      <c r="BI69" s="216">
        <v>76730</v>
      </c>
      <c r="BJ69" s="216">
        <v>-67752</v>
      </c>
      <c r="BK69" s="216">
        <v>39523</v>
      </c>
      <c r="BL69" s="216">
        <v>27373</v>
      </c>
      <c r="BM69" s="151"/>
      <c r="BO69" s="216">
        <v>-161</v>
      </c>
      <c r="BP69" s="216">
        <v>1085</v>
      </c>
      <c r="BQ69" s="216">
        <v>68</v>
      </c>
      <c r="BR69" s="216">
        <v>3671</v>
      </c>
      <c r="BS69" s="216">
        <v>0</v>
      </c>
      <c r="BT69" s="216">
        <v>0</v>
      </c>
      <c r="BU69" s="216">
        <v>-3603</v>
      </c>
      <c r="BV69" s="183">
        <v>0</v>
      </c>
      <c r="BW69" s="183">
        <v>0</v>
      </c>
      <c r="BX69" s="183">
        <v>0</v>
      </c>
      <c r="BY69" s="183">
        <v>-3603</v>
      </c>
      <c r="BZ69" s="183">
        <v>-3625</v>
      </c>
      <c r="CA69" s="183">
        <v>75</v>
      </c>
      <c r="CB69" s="167"/>
      <c r="CC69" s="183">
        <v>-468</v>
      </c>
      <c r="CD69" s="183">
        <v>-7123</v>
      </c>
      <c r="CE69" s="180">
        <v>-7223</v>
      </c>
      <c r="CF69" s="139">
        <v>39523</v>
      </c>
      <c r="CG69" s="216">
        <v>33520</v>
      </c>
      <c r="CH69" s="216">
        <v>2492</v>
      </c>
      <c r="CI69" s="216">
        <v>3511</v>
      </c>
      <c r="CJ69" s="212">
        <v>21.5</v>
      </c>
      <c r="CK69" s="144"/>
      <c r="CL69" s="130">
        <v>228</v>
      </c>
      <c r="CM69" s="228">
        <v>11163</v>
      </c>
      <c r="CN69" s="138"/>
      <c r="CO69" s="142">
        <v>0.82132701421800947</v>
      </c>
      <c r="CP69" s="142">
        <v>79.044239937908856</v>
      </c>
      <c r="CQ69" s="183">
        <v>-5020.3350353847536</v>
      </c>
      <c r="CR69" s="144"/>
      <c r="CS69"/>
      <c r="CU69" s="232">
        <v>18.940089268875337</v>
      </c>
      <c r="CV69" s="143">
        <v>402.93827824061634</v>
      </c>
      <c r="CW69" s="146">
        <v>18.327416834114757</v>
      </c>
      <c r="CX69" s="143">
        <v>8024.7245364149421</v>
      </c>
      <c r="CY69" s="131">
        <v>20220</v>
      </c>
      <c r="CZ69" s="229">
        <v>8962</v>
      </c>
      <c r="DA69" s="229">
        <v>75273</v>
      </c>
      <c r="DB69" s="216">
        <v>-66311</v>
      </c>
      <c r="DC69" s="229">
        <v>40468</v>
      </c>
      <c r="DD69" s="229">
        <v>31741</v>
      </c>
      <c r="DE69" s="151"/>
      <c r="DG69" s="229">
        <v>-174</v>
      </c>
      <c r="DH69" s="229">
        <v>1030</v>
      </c>
      <c r="DI69" s="229">
        <v>6754</v>
      </c>
      <c r="DJ69" s="229">
        <v>3701</v>
      </c>
      <c r="DK69" s="229">
        <v>0</v>
      </c>
      <c r="DL69" s="229">
        <v>0</v>
      </c>
      <c r="DM69" s="229">
        <v>3053</v>
      </c>
      <c r="DN69" s="130">
        <v>0</v>
      </c>
      <c r="DO69" s="130">
        <v>0</v>
      </c>
      <c r="DP69" s="130">
        <v>0</v>
      </c>
      <c r="DQ69" s="130">
        <v>3053</v>
      </c>
      <c r="DR69" s="130">
        <v>-572</v>
      </c>
      <c r="DS69" s="130">
        <v>6742</v>
      </c>
      <c r="DT69" s="167"/>
      <c r="DU69" s="183">
        <v>-265</v>
      </c>
      <c r="DV69" s="183">
        <v>-8262</v>
      </c>
      <c r="DW69" s="180">
        <v>1130</v>
      </c>
      <c r="DX69" s="130">
        <v>40468</v>
      </c>
      <c r="DY69" s="229">
        <v>34526</v>
      </c>
      <c r="DZ69" s="229">
        <v>2728</v>
      </c>
      <c r="EA69" s="229">
        <v>3214</v>
      </c>
      <c r="EB69" s="212">
        <v>21.75</v>
      </c>
      <c r="EC69" s="208"/>
      <c r="ED69" s="183">
        <v>182.963235294117</v>
      </c>
      <c r="EE69" s="3">
        <v>48112</v>
      </c>
      <c r="EF69" s="183">
        <v>48510</v>
      </c>
      <c r="EG69" s="130">
        <v>47326</v>
      </c>
      <c r="EH69" s="130"/>
      <c r="EI69" s="130"/>
      <c r="EJ69" s="130"/>
      <c r="EK69" s="183">
        <v>-7186</v>
      </c>
      <c r="EL69" s="183">
        <v>670</v>
      </c>
      <c r="EM69" s="183">
        <v>209</v>
      </c>
      <c r="EN69" s="226">
        <v>-7578</v>
      </c>
      <c r="EO69" s="226">
        <v>146</v>
      </c>
      <c r="EP69" s="226">
        <v>134</v>
      </c>
      <c r="EQ69" s="226">
        <v>-5862</v>
      </c>
      <c r="ER69" s="230">
        <v>200</v>
      </c>
      <c r="ES69" s="230">
        <v>50</v>
      </c>
      <c r="ET69" s="3">
        <v>9000</v>
      </c>
      <c r="EU69" s="211">
        <v>0</v>
      </c>
      <c r="EV69" s="183">
        <v>14000</v>
      </c>
      <c r="EW69" s="183">
        <v>2529</v>
      </c>
      <c r="EX69" s="130">
        <v>11000</v>
      </c>
      <c r="EY69" s="183">
        <v>-262</v>
      </c>
      <c r="EZ69" s="3">
        <v>43759</v>
      </c>
      <c r="FA69" s="3">
        <v>36636</v>
      </c>
      <c r="FB69" s="3">
        <v>7123</v>
      </c>
      <c r="FC69" s="3">
        <v>1508</v>
      </c>
      <c r="FD69" s="226">
        <v>53165</v>
      </c>
      <c r="FE69" s="183">
        <v>42374</v>
      </c>
      <c r="FF69" s="183">
        <v>10791</v>
      </c>
      <c r="FG69" s="183">
        <v>1472</v>
      </c>
      <c r="FH69" s="230">
        <v>55640</v>
      </c>
      <c r="FI69" s="130">
        <v>44411</v>
      </c>
      <c r="FJ69" s="130">
        <v>11229</v>
      </c>
      <c r="FK69" s="130">
        <v>1435</v>
      </c>
      <c r="FL69" s="29">
        <v>6366.7509371458464</v>
      </c>
      <c r="FM69" s="139">
        <v>6933.2801701222752</v>
      </c>
      <c r="FN69" s="139">
        <v>7156.8574755889995</v>
      </c>
      <c r="FO69" s="172">
        <f t="shared" si="3"/>
        <v>1587.4022988505747</v>
      </c>
      <c r="FP69" s="170">
        <f t="shared" si="4"/>
        <v>142.20212298222472</v>
      </c>
      <c r="FR69" s="175"/>
      <c r="FS69" s="195"/>
      <c r="FV69" s="175">
        <v>3569</v>
      </c>
      <c r="FW69" s="2">
        <f t="shared" si="5"/>
        <v>-3569</v>
      </c>
      <c r="FZ69" s="186"/>
      <c r="GA69" s="2"/>
      <c r="GB69" s="2"/>
    </row>
    <row r="70" spans="1:184" ht="13" x14ac:dyDescent="0.3">
      <c r="A70" s="77">
        <v>216</v>
      </c>
      <c r="B70" s="75" t="s">
        <v>69</v>
      </c>
      <c r="C70" s="179">
        <v>1353</v>
      </c>
      <c r="D70" s="138"/>
      <c r="E70" s="142">
        <v>0.79274611398963735</v>
      </c>
      <c r="F70" s="142">
        <v>61.53796777713589</v>
      </c>
      <c r="G70" s="183">
        <v>-3663.7102734663708</v>
      </c>
      <c r="H70" s="144"/>
      <c r="I70" s="186"/>
      <c r="K70" s="210">
        <v>61.223007063572148</v>
      </c>
      <c r="L70" s="143">
        <v>2345.1589061345157</v>
      </c>
      <c r="M70" s="146">
        <v>68.006165590135055</v>
      </c>
      <c r="N70" s="143">
        <v>12586.844050258684</v>
      </c>
      <c r="O70" s="138">
        <v>4297</v>
      </c>
      <c r="P70" s="143">
        <v>5623</v>
      </c>
      <c r="Q70" s="184">
        <v>14597</v>
      </c>
      <c r="R70" s="184">
        <v>-8974</v>
      </c>
      <c r="S70" s="139">
        <v>4049</v>
      </c>
      <c r="T70" s="138">
        <v>5907</v>
      </c>
      <c r="U70" s="151"/>
      <c r="W70" s="183">
        <v>-6</v>
      </c>
      <c r="X70" s="183">
        <v>81</v>
      </c>
      <c r="Y70" s="184">
        <v>1057</v>
      </c>
      <c r="Z70" s="130">
        <v>1077</v>
      </c>
      <c r="AA70" s="130">
        <v>79</v>
      </c>
      <c r="AB70" s="130">
        <v>61</v>
      </c>
      <c r="AC70" s="184">
        <v>-2</v>
      </c>
      <c r="AD70" s="184">
        <v>1</v>
      </c>
      <c r="AE70" s="184">
        <v>0</v>
      </c>
      <c r="AF70" s="183">
        <v>0</v>
      </c>
      <c r="AG70" s="183">
        <v>-1</v>
      </c>
      <c r="AH70" s="183">
        <v>11651</v>
      </c>
      <c r="AI70" s="183">
        <v>1075</v>
      </c>
      <c r="AJ70" s="167"/>
      <c r="AK70" s="183">
        <v>170</v>
      </c>
      <c r="AL70" s="183">
        <v>-1337</v>
      </c>
      <c r="AM70" s="180">
        <v>46</v>
      </c>
      <c r="AN70" s="139">
        <v>4049</v>
      </c>
      <c r="AO70" s="138">
        <v>3034</v>
      </c>
      <c r="AP70" s="184">
        <v>574</v>
      </c>
      <c r="AQ70" s="138">
        <v>441</v>
      </c>
      <c r="AR70" s="109">
        <v>21</v>
      </c>
      <c r="AS70" s="144"/>
      <c r="AT70" s="139">
        <v>9</v>
      </c>
      <c r="AU70" s="228">
        <v>1339</v>
      </c>
      <c r="AV70" s="138"/>
      <c r="AW70" s="224">
        <v>-1.5827149716281099</v>
      </c>
      <c r="AX70" s="225">
        <v>63.210787431624475</v>
      </c>
      <c r="AY70" s="139">
        <v>-3751.3069454817028</v>
      </c>
      <c r="AZ70" s="144"/>
      <c r="BA70"/>
      <c r="BC70" s="189">
        <v>49.4669946699467</v>
      </c>
      <c r="BD70" s="183">
        <v>2845.4070201643017</v>
      </c>
      <c r="BE70" s="140">
        <v>71.042145593869733</v>
      </c>
      <c r="BF70" s="139">
        <v>14619.118745332338</v>
      </c>
      <c r="BG70" s="184">
        <v>4357</v>
      </c>
      <c r="BH70" s="216">
        <v>5689</v>
      </c>
      <c r="BI70" s="216">
        <v>15161</v>
      </c>
      <c r="BJ70" s="216">
        <v>-9472</v>
      </c>
      <c r="BK70" s="216">
        <v>4304</v>
      </c>
      <c r="BL70" s="216">
        <v>5729</v>
      </c>
      <c r="BM70" s="151"/>
      <c r="BO70" s="216">
        <v>-8</v>
      </c>
      <c r="BP70" s="216">
        <v>-2378</v>
      </c>
      <c r="BQ70" s="216">
        <v>-1825</v>
      </c>
      <c r="BR70" s="216">
        <v>1144</v>
      </c>
      <c r="BS70" s="216">
        <v>9</v>
      </c>
      <c r="BT70" s="216">
        <v>143</v>
      </c>
      <c r="BU70" s="216">
        <v>-3103</v>
      </c>
      <c r="BV70" s="184">
        <v>1</v>
      </c>
      <c r="BW70" s="184">
        <v>0</v>
      </c>
      <c r="BX70" s="183">
        <v>0</v>
      </c>
      <c r="BY70" s="183">
        <v>-3102</v>
      </c>
      <c r="BZ70" s="183">
        <v>8549</v>
      </c>
      <c r="CA70" s="183">
        <v>406</v>
      </c>
      <c r="CB70" s="167"/>
      <c r="CC70" s="183">
        <v>458</v>
      </c>
      <c r="CD70" s="183">
        <v>-1448</v>
      </c>
      <c r="CE70" s="180">
        <v>-86</v>
      </c>
      <c r="CF70" s="139">
        <v>4304</v>
      </c>
      <c r="CG70" s="216">
        <v>3217</v>
      </c>
      <c r="CH70" s="216">
        <v>634</v>
      </c>
      <c r="CI70" s="216">
        <v>453</v>
      </c>
      <c r="CJ70" s="212">
        <v>21</v>
      </c>
      <c r="CK70" s="144"/>
      <c r="CL70" s="130">
        <v>293</v>
      </c>
      <c r="CM70" s="228">
        <v>1323</v>
      </c>
      <c r="CN70" s="138"/>
      <c r="CO70" s="142">
        <v>9.6439169139465875E-2</v>
      </c>
      <c r="CP70" s="142">
        <v>75</v>
      </c>
      <c r="CQ70" s="183">
        <v>-4972.7891156462583</v>
      </c>
      <c r="CR70" s="144"/>
      <c r="CS70"/>
      <c r="CU70" s="232">
        <v>50.35053342042238</v>
      </c>
      <c r="CV70" s="143">
        <v>2668.1783824640966</v>
      </c>
      <c r="CW70" s="146">
        <v>60.610123247718505</v>
      </c>
      <c r="CX70" s="143">
        <v>16068.027210884355</v>
      </c>
      <c r="CY70" s="131">
        <v>3767</v>
      </c>
      <c r="CZ70" s="229">
        <v>4525</v>
      </c>
      <c r="DA70" s="229">
        <v>14081</v>
      </c>
      <c r="DB70" s="216">
        <v>-9556</v>
      </c>
      <c r="DC70" s="229">
        <v>4314</v>
      </c>
      <c r="DD70" s="229">
        <v>6333</v>
      </c>
      <c r="DE70" s="151"/>
      <c r="DG70" s="229">
        <v>-7</v>
      </c>
      <c r="DH70" s="229">
        <v>-510</v>
      </c>
      <c r="DI70" s="229">
        <v>574</v>
      </c>
      <c r="DJ70" s="229">
        <v>1078</v>
      </c>
      <c r="DK70" s="229">
        <v>0</v>
      </c>
      <c r="DL70" s="229">
        <v>0</v>
      </c>
      <c r="DM70" s="229">
        <v>-504</v>
      </c>
      <c r="DN70" s="131">
        <v>1</v>
      </c>
      <c r="DO70" s="131">
        <v>0</v>
      </c>
      <c r="DP70" s="130">
        <v>0</v>
      </c>
      <c r="DQ70" s="130">
        <v>-503</v>
      </c>
      <c r="DR70" s="130">
        <v>8047</v>
      </c>
      <c r="DS70" s="130">
        <v>-1155</v>
      </c>
      <c r="DT70" s="167"/>
      <c r="DU70" s="183">
        <v>-122</v>
      </c>
      <c r="DV70" s="183">
        <v>-6055</v>
      </c>
      <c r="DW70" s="180">
        <v>-1580</v>
      </c>
      <c r="DX70" s="130">
        <v>4314</v>
      </c>
      <c r="DY70" s="229">
        <v>3187</v>
      </c>
      <c r="DZ70" s="229">
        <v>709</v>
      </c>
      <c r="EA70" s="229">
        <v>418</v>
      </c>
      <c r="EB70" s="212">
        <v>21</v>
      </c>
      <c r="EC70" s="208"/>
      <c r="ED70" s="183">
        <v>247.433823529411</v>
      </c>
      <c r="EE70" s="3">
        <v>8378</v>
      </c>
      <c r="EF70" s="183">
        <v>8774</v>
      </c>
      <c r="EG70" s="130">
        <v>8488</v>
      </c>
      <c r="EH70" s="130"/>
      <c r="EI70" s="130"/>
      <c r="EJ70" s="130">
        <v>190</v>
      </c>
      <c r="EK70" s="183">
        <v>-1029</v>
      </c>
      <c r="EL70" s="183">
        <v>0</v>
      </c>
      <c r="EM70" s="183">
        <v>0</v>
      </c>
      <c r="EN70" s="226">
        <v>-523</v>
      </c>
      <c r="EO70" s="226">
        <v>13</v>
      </c>
      <c r="EP70" s="226">
        <v>18</v>
      </c>
      <c r="EQ70" s="226">
        <v>-427</v>
      </c>
      <c r="ER70" s="230">
        <v>0</v>
      </c>
      <c r="ES70" s="230">
        <v>2</v>
      </c>
      <c r="ET70" s="3">
        <v>1300</v>
      </c>
      <c r="EU70" s="211">
        <v>-160</v>
      </c>
      <c r="EV70" s="183">
        <v>1850</v>
      </c>
      <c r="EW70" s="183">
        <v>-160</v>
      </c>
      <c r="EX70" s="130">
        <v>2367</v>
      </c>
      <c r="EY70" s="183">
        <v>5261</v>
      </c>
      <c r="EZ70" s="3">
        <v>8126</v>
      </c>
      <c r="FA70" s="3">
        <v>5858</v>
      </c>
      <c r="FB70" s="3">
        <v>2268</v>
      </c>
      <c r="FC70" s="3">
        <v>0</v>
      </c>
      <c r="FD70" s="226">
        <v>8366</v>
      </c>
      <c r="FE70" s="183">
        <v>6368</v>
      </c>
      <c r="FF70" s="183">
        <v>1998</v>
      </c>
      <c r="FG70" s="183">
        <v>0</v>
      </c>
      <c r="FH70" s="230">
        <v>9938</v>
      </c>
      <c r="FI70" s="130">
        <v>2681</v>
      </c>
      <c r="FJ70" s="130">
        <v>7257</v>
      </c>
      <c r="FK70" s="130">
        <v>0</v>
      </c>
      <c r="FL70" s="29">
        <v>8674.796747967479</v>
      </c>
      <c r="FM70" s="139">
        <v>9901.4189693801345</v>
      </c>
      <c r="FN70" s="139">
        <v>11894.935752078609</v>
      </c>
      <c r="FO70" s="172">
        <f t="shared" si="3"/>
        <v>151.76190476190476</v>
      </c>
      <c r="FP70" s="170">
        <f t="shared" si="4"/>
        <v>114.71043443832559</v>
      </c>
      <c r="FR70" s="175"/>
      <c r="FS70" s="195"/>
      <c r="FV70" s="175">
        <v>707</v>
      </c>
      <c r="FW70" s="2">
        <f t="shared" si="5"/>
        <v>-707</v>
      </c>
      <c r="FZ70" s="186"/>
      <c r="GA70" s="2"/>
      <c r="GB70" s="2"/>
    </row>
    <row r="71" spans="1:184" ht="13" x14ac:dyDescent="0.3">
      <c r="A71" s="77">
        <v>217</v>
      </c>
      <c r="B71" s="75" t="s">
        <v>70</v>
      </c>
      <c r="C71" s="179">
        <v>5502</v>
      </c>
      <c r="D71" s="138"/>
      <c r="E71" s="142">
        <v>-3.4411764705882355</v>
      </c>
      <c r="F71" s="142">
        <v>53.614352392065342</v>
      </c>
      <c r="G71" s="183">
        <v>-2806.4340239912758</v>
      </c>
      <c r="H71" s="144"/>
      <c r="I71" s="186"/>
      <c r="K71" s="210">
        <v>44.875258680156357</v>
      </c>
      <c r="L71" s="143">
        <v>296.80116321337698</v>
      </c>
      <c r="M71" s="146">
        <v>16.764970607262399</v>
      </c>
      <c r="N71" s="143">
        <v>6461.8320610687024</v>
      </c>
      <c r="O71" s="138">
        <v>9663</v>
      </c>
      <c r="P71" s="143">
        <v>3162</v>
      </c>
      <c r="Q71" s="184">
        <v>34165</v>
      </c>
      <c r="R71" s="184">
        <v>-31003</v>
      </c>
      <c r="S71" s="139">
        <v>17779</v>
      </c>
      <c r="T71" s="138">
        <v>13339</v>
      </c>
      <c r="U71" s="151"/>
      <c r="W71" s="183">
        <v>37</v>
      </c>
      <c r="X71" s="183">
        <v>-1</v>
      </c>
      <c r="Y71" s="184">
        <v>151</v>
      </c>
      <c r="Z71" s="130">
        <v>1116</v>
      </c>
      <c r="AA71" s="130">
        <v>0</v>
      </c>
      <c r="AB71" s="131">
        <v>0</v>
      </c>
      <c r="AC71" s="184">
        <v>-965</v>
      </c>
      <c r="AD71" s="183">
        <v>104</v>
      </c>
      <c r="AE71" s="183">
        <v>0</v>
      </c>
      <c r="AF71" s="184">
        <v>7</v>
      </c>
      <c r="AG71" s="183">
        <v>-854</v>
      </c>
      <c r="AH71" s="183">
        <v>4944</v>
      </c>
      <c r="AI71" s="183">
        <v>151</v>
      </c>
      <c r="AJ71" s="167"/>
      <c r="AK71" s="183">
        <v>-6</v>
      </c>
      <c r="AL71" s="183">
        <v>0</v>
      </c>
      <c r="AM71" s="180">
        <v>-1323</v>
      </c>
      <c r="AN71" s="139">
        <v>17779</v>
      </c>
      <c r="AO71" s="138">
        <v>15347</v>
      </c>
      <c r="AP71" s="184">
        <v>1153</v>
      </c>
      <c r="AQ71" s="138">
        <v>1279</v>
      </c>
      <c r="AR71" s="109">
        <v>21.5</v>
      </c>
      <c r="AS71" s="144"/>
      <c r="AT71" s="139">
        <v>244</v>
      </c>
      <c r="AU71" s="228">
        <v>5464</v>
      </c>
      <c r="AV71" s="138"/>
      <c r="AW71" s="224">
        <v>3.0521805482185832E-2</v>
      </c>
      <c r="AX71" s="225">
        <v>53.304167626064931</v>
      </c>
      <c r="AY71" s="139">
        <v>-3034.9560761346997</v>
      </c>
      <c r="AZ71" s="144"/>
      <c r="BA71"/>
      <c r="BC71" s="189">
        <v>42.716535433070867</v>
      </c>
      <c r="BD71" s="183">
        <v>245.60761346998535</v>
      </c>
      <c r="BE71" s="140">
        <v>13.623039270219158</v>
      </c>
      <c r="BF71" s="139">
        <v>6580.5270863836022</v>
      </c>
      <c r="BG71" s="184">
        <v>9817</v>
      </c>
      <c r="BH71" s="216">
        <v>3240</v>
      </c>
      <c r="BI71" s="216">
        <v>34679</v>
      </c>
      <c r="BJ71" s="216">
        <v>-31439</v>
      </c>
      <c r="BK71" s="216">
        <v>17802</v>
      </c>
      <c r="BL71" s="216">
        <v>13702</v>
      </c>
      <c r="BM71" s="151"/>
      <c r="BO71" s="216">
        <v>22</v>
      </c>
      <c r="BP71" s="216">
        <v>-2</v>
      </c>
      <c r="BQ71" s="216">
        <v>85</v>
      </c>
      <c r="BR71" s="216">
        <v>1159</v>
      </c>
      <c r="BS71" s="216">
        <v>0</v>
      </c>
      <c r="BT71" s="216">
        <v>0</v>
      </c>
      <c r="BU71" s="216">
        <v>-1074</v>
      </c>
      <c r="BV71" s="183">
        <v>104</v>
      </c>
      <c r="BW71" s="183">
        <v>0</v>
      </c>
      <c r="BX71" s="184">
        <v>0</v>
      </c>
      <c r="BY71" s="183">
        <v>-970</v>
      </c>
      <c r="BZ71" s="183">
        <v>3974</v>
      </c>
      <c r="CA71" s="183">
        <v>60</v>
      </c>
      <c r="CB71" s="167"/>
      <c r="CC71" s="183">
        <v>713</v>
      </c>
      <c r="CD71" s="183">
        <v>0</v>
      </c>
      <c r="CE71" s="180">
        <v>-1197</v>
      </c>
      <c r="CF71" s="139">
        <v>17802</v>
      </c>
      <c r="CG71" s="216">
        <v>15563</v>
      </c>
      <c r="CH71" s="216">
        <v>950</v>
      </c>
      <c r="CI71" s="216">
        <v>1289</v>
      </c>
      <c r="CJ71" s="212">
        <v>21.5</v>
      </c>
      <c r="CK71" s="144"/>
      <c r="CL71" s="130">
        <v>222</v>
      </c>
      <c r="CM71" s="228">
        <v>5426</v>
      </c>
      <c r="CN71" s="138"/>
      <c r="CO71" s="142">
        <v>-123.6</v>
      </c>
      <c r="CP71" s="142">
        <v>46.573679452408626</v>
      </c>
      <c r="CQ71" s="183">
        <v>-2541.0984150387026</v>
      </c>
      <c r="CR71" s="144"/>
      <c r="CS71"/>
      <c r="CU71" s="232">
        <v>45.534453442462322</v>
      </c>
      <c r="CV71" s="143">
        <v>560.449686693697</v>
      </c>
      <c r="CW71" s="146">
        <v>29.943214006312552</v>
      </c>
      <c r="CX71" s="143">
        <v>6831.7360855141906</v>
      </c>
      <c r="CY71" s="131">
        <v>9780</v>
      </c>
      <c r="CZ71" s="229">
        <v>2757</v>
      </c>
      <c r="DA71" s="229">
        <v>36255</v>
      </c>
      <c r="DB71" s="216">
        <v>-33498</v>
      </c>
      <c r="DC71" s="229">
        <v>19346</v>
      </c>
      <c r="DD71" s="229">
        <v>16613</v>
      </c>
      <c r="DE71" s="151"/>
      <c r="DG71" s="229">
        <v>25</v>
      </c>
      <c r="DH71" s="229">
        <v>6</v>
      </c>
      <c r="DI71" s="229">
        <v>2492</v>
      </c>
      <c r="DJ71" s="229">
        <v>1230</v>
      </c>
      <c r="DK71" s="229">
        <v>0</v>
      </c>
      <c r="DL71" s="229">
        <v>0</v>
      </c>
      <c r="DM71" s="229">
        <v>1262</v>
      </c>
      <c r="DN71" s="130">
        <v>100</v>
      </c>
      <c r="DO71" s="130">
        <v>0</v>
      </c>
      <c r="DP71" s="131">
        <v>0</v>
      </c>
      <c r="DQ71" s="130">
        <v>1362</v>
      </c>
      <c r="DR71" s="130">
        <v>5337</v>
      </c>
      <c r="DS71" s="130">
        <v>2486</v>
      </c>
      <c r="DT71" s="167"/>
      <c r="DU71" s="183">
        <v>-28</v>
      </c>
      <c r="DV71" s="183">
        <v>0</v>
      </c>
      <c r="DW71" s="180">
        <v>1688</v>
      </c>
      <c r="DX71" s="130">
        <v>19346</v>
      </c>
      <c r="DY71" s="229">
        <v>16616</v>
      </c>
      <c r="DZ71" s="229">
        <v>1091</v>
      </c>
      <c r="EA71" s="229">
        <v>1639</v>
      </c>
      <c r="EB71" s="212">
        <v>21.5</v>
      </c>
      <c r="EC71" s="208"/>
      <c r="ED71" s="183">
        <v>239.375</v>
      </c>
      <c r="EE71" s="3">
        <v>21628</v>
      </c>
      <c r="EF71" s="183">
        <v>21810</v>
      </c>
      <c r="EG71" s="130">
        <v>23348</v>
      </c>
      <c r="EH71" s="130"/>
      <c r="EI71" s="130"/>
      <c r="EJ71" s="130"/>
      <c r="EK71" s="183">
        <v>-1474</v>
      </c>
      <c r="EL71" s="183">
        <v>0</v>
      </c>
      <c r="EM71" s="183">
        <v>0</v>
      </c>
      <c r="EN71" s="226">
        <v>-1336</v>
      </c>
      <c r="EO71" s="226">
        <v>0</v>
      </c>
      <c r="EP71" s="226">
        <v>79</v>
      </c>
      <c r="EQ71" s="226">
        <v>-825</v>
      </c>
      <c r="ER71" s="230">
        <v>0</v>
      </c>
      <c r="ES71" s="230">
        <v>27</v>
      </c>
      <c r="ET71" s="3">
        <v>0</v>
      </c>
      <c r="EU71" s="211">
        <v>1300</v>
      </c>
      <c r="EV71" s="183">
        <v>0</v>
      </c>
      <c r="EW71" s="183">
        <v>500</v>
      </c>
      <c r="EX71" s="130">
        <v>0</v>
      </c>
      <c r="EY71" s="183">
        <v>-1500</v>
      </c>
      <c r="EZ71" s="3">
        <v>16000</v>
      </c>
      <c r="FA71" s="3">
        <v>0</v>
      </c>
      <c r="FB71" s="3">
        <v>16000</v>
      </c>
      <c r="FC71" s="3">
        <v>672</v>
      </c>
      <c r="FD71" s="226">
        <v>16500</v>
      </c>
      <c r="FE71" s="183">
        <v>0</v>
      </c>
      <c r="FF71" s="183">
        <v>16500</v>
      </c>
      <c r="FG71" s="183">
        <v>637</v>
      </c>
      <c r="FH71" s="230">
        <v>15000</v>
      </c>
      <c r="FI71" s="130">
        <v>0</v>
      </c>
      <c r="FJ71" s="130">
        <v>15000</v>
      </c>
      <c r="FK71" s="130">
        <v>3</v>
      </c>
      <c r="FL71" s="29">
        <v>5206.1068702290067</v>
      </c>
      <c r="FM71" s="139">
        <v>5330.7101024890189</v>
      </c>
      <c r="FN71" s="139">
        <v>5164.946553630667</v>
      </c>
      <c r="FO71" s="172">
        <f t="shared" si="3"/>
        <v>772.83720930232562</v>
      </c>
      <c r="FP71" s="170">
        <f t="shared" si="4"/>
        <v>142.43221697425832</v>
      </c>
      <c r="FR71" s="175"/>
      <c r="FS71" s="195"/>
      <c r="FV71" s="175">
        <v>865</v>
      </c>
      <c r="FW71" s="2">
        <f t="shared" si="5"/>
        <v>-865</v>
      </c>
      <c r="FZ71" s="186"/>
      <c r="GA71" s="2"/>
      <c r="GB71" s="2"/>
    </row>
    <row r="72" spans="1:184" ht="13" x14ac:dyDescent="0.3">
      <c r="A72" s="77">
        <v>218</v>
      </c>
      <c r="B72" s="75" t="s">
        <v>71</v>
      </c>
      <c r="C72" s="179">
        <v>1274</v>
      </c>
      <c r="D72" s="138"/>
      <c r="E72" s="142">
        <v>0.16608996539792387</v>
      </c>
      <c r="F72" s="142">
        <v>29.113414511421958</v>
      </c>
      <c r="G72" s="183">
        <v>-1177.3940345368917</v>
      </c>
      <c r="H72" s="144"/>
      <c r="I72" s="186"/>
      <c r="K72" s="210">
        <v>63.687959047407077</v>
      </c>
      <c r="L72" s="143">
        <v>906.5934065934066</v>
      </c>
      <c r="M72" s="146">
        <v>37.603692801712604</v>
      </c>
      <c r="N72" s="143">
        <v>8799.8430141287281</v>
      </c>
      <c r="O72" s="138">
        <v>1642</v>
      </c>
      <c r="P72" s="143">
        <v>1264</v>
      </c>
      <c r="Q72" s="184">
        <v>9894</v>
      </c>
      <c r="R72" s="184">
        <v>-8630</v>
      </c>
      <c r="S72" s="139">
        <v>4033</v>
      </c>
      <c r="T72" s="138">
        <v>4640</v>
      </c>
      <c r="U72" s="151"/>
      <c r="W72" s="183">
        <v>-23</v>
      </c>
      <c r="X72" s="183">
        <v>5</v>
      </c>
      <c r="Y72" s="184">
        <v>25</v>
      </c>
      <c r="Z72" s="130">
        <v>248</v>
      </c>
      <c r="AA72" s="130">
        <v>0</v>
      </c>
      <c r="AB72" s="130">
        <v>0</v>
      </c>
      <c r="AC72" s="184">
        <v>-223</v>
      </c>
      <c r="AD72" s="183">
        <v>0</v>
      </c>
      <c r="AE72" s="183">
        <v>0</v>
      </c>
      <c r="AF72" s="183">
        <v>0</v>
      </c>
      <c r="AG72" s="183">
        <v>-223</v>
      </c>
      <c r="AH72" s="183">
        <v>1857</v>
      </c>
      <c r="AI72" s="183">
        <v>45</v>
      </c>
      <c r="AJ72" s="167"/>
      <c r="AK72" s="183">
        <v>-41</v>
      </c>
      <c r="AL72" s="183">
        <v>-266</v>
      </c>
      <c r="AM72" s="180">
        <v>-949</v>
      </c>
      <c r="AN72" s="139">
        <v>4033</v>
      </c>
      <c r="AO72" s="138">
        <v>3509</v>
      </c>
      <c r="AP72" s="184">
        <v>281</v>
      </c>
      <c r="AQ72" s="138">
        <v>243</v>
      </c>
      <c r="AR72" s="109">
        <v>22</v>
      </c>
      <c r="AS72" s="144"/>
      <c r="AT72" s="139">
        <v>246</v>
      </c>
      <c r="AU72" s="228">
        <v>1245</v>
      </c>
      <c r="AV72" s="138"/>
      <c r="AW72" s="224">
        <v>-1.187878787878788</v>
      </c>
      <c r="AX72" s="225">
        <v>32.058642608160753</v>
      </c>
      <c r="AY72" s="139">
        <v>-1922.8915662650602</v>
      </c>
      <c r="AZ72" s="144"/>
      <c r="BA72"/>
      <c r="BC72" s="189">
        <v>58.814518029695968</v>
      </c>
      <c r="BD72" s="183">
        <v>428.11244979919678</v>
      </c>
      <c r="BE72" s="140">
        <v>17.773159144893111</v>
      </c>
      <c r="BF72" s="139">
        <v>8791.9678714859438</v>
      </c>
      <c r="BG72" s="184">
        <v>1807</v>
      </c>
      <c r="BH72" s="216">
        <v>1062</v>
      </c>
      <c r="BI72" s="216">
        <v>10202</v>
      </c>
      <c r="BJ72" s="216">
        <v>-9140</v>
      </c>
      <c r="BK72" s="216">
        <v>3838</v>
      </c>
      <c r="BL72" s="216">
        <v>4854</v>
      </c>
      <c r="BM72" s="151"/>
      <c r="BO72" s="216">
        <v>-20</v>
      </c>
      <c r="BP72" s="216">
        <v>7</v>
      </c>
      <c r="BQ72" s="216">
        <v>-461</v>
      </c>
      <c r="BR72" s="216">
        <v>271</v>
      </c>
      <c r="BS72" s="216">
        <v>0</v>
      </c>
      <c r="BT72" s="216">
        <v>0</v>
      </c>
      <c r="BU72" s="216">
        <v>-732</v>
      </c>
      <c r="BV72" s="183">
        <v>0</v>
      </c>
      <c r="BW72" s="183">
        <v>0</v>
      </c>
      <c r="BX72" s="183">
        <v>0</v>
      </c>
      <c r="BY72" s="183">
        <v>-732</v>
      </c>
      <c r="BZ72" s="183">
        <v>1125</v>
      </c>
      <c r="CA72" s="183">
        <v>-461</v>
      </c>
      <c r="CB72" s="167"/>
      <c r="CC72" s="183">
        <v>37</v>
      </c>
      <c r="CD72" s="183">
        <v>-262</v>
      </c>
      <c r="CE72" s="180">
        <v>-893</v>
      </c>
      <c r="CF72" s="139">
        <v>3838</v>
      </c>
      <c r="CG72" s="216">
        <v>3270</v>
      </c>
      <c r="CH72" s="216">
        <v>282</v>
      </c>
      <c r="CI72" s="216">
        <v>286</v>
      </c>
      <c r="CJ72" s="212">
        <v>22</v>
      </c>
      <c r="CK72" s="144"/>
      <c r="CL72" s="130">
        <v>283</v>
      </c>
      <c r="CM72" s="228">
        <v>1207</v>
      </c>
      <c r="CN72" s="138"/>
      <c r="CO72" s="142">
        <v>6.1851851851851851</v>
      </c>
      <c r="CP72" s="142">
        <v>29.586330935251798</v>
      </c>
      <c r="CQ72" s="183">
        <v>-587.40679370339683</v>
      </c>
      <c r="CR72" s="144"/>
      <c r="CS72"/>
      <c r="CU72" s="232">
        <v>63.934102791752984</v>
      </c>
      <c r="CV72" s="143">
        <v>1884.009942004971</v>
      </c>
      <c r="CW72" s="146">
        <v>85.286683107274968</v>
      </c>
      <c r="CX72" s="143">
        <v>8062.9660314830162</v>
      </c>
      <c r="CY72" s="131">
        <v>1695</v>
      </c>
      <c r="CZ72" s="229">
        <v>1137</v>
      </c>
      <c r="DA72" s="229">
        <v>9291</v>
      </c>
      <c r="DB72" s="216">
        <v>-8154</v>
      </c>
      <c r="DC72" s="229">
        <v>4145</v>
      </c>
      <c r="DD72" s="229">
        <v>5838</v>
      </c>
      <c r="DE72" s="151"/>
      <c r="DG72" s="229">
        <v>-17</v>
      </c>
      <c r="DH72" s="229">
        <v>7</v>
      </c>
      <c r="DI72" s="229">
        <v>1819</v>
      </c>
      <c r="DJ72" s="229">
        <v>329</v>
      </c>
      <c r="DK72" s="229">
        <v>0</v>
      </c>
      <c r="DL72" s="229">
        <v>0</v>
      </c>
      <c r="DM72" s="229">
        <v>1490</v>
      </c>
      <c r="DN72" s="130">
        <v>0</v>
      </c>
      <c r="DO72" s="130">
        <v>0</v>
      </c>
      <c r="DP72" s="130">
        <v>0</v>
      </c>
      <c r="DQ72" s="130">
        <v>1490</v>
      </c>
      <c r="DR72" s="130">
        <v>2615</v>
      </c>
      <c r="DS72" s="130">
        <v>1819</v>
      </c>
      <c r="DT72" s="167"/>
      <c r="DU72" s="183">
        <v>-106</v>
      </c>
      <c r="DV72" s="183">
        <v>-279</v>
      </c>
      <c r="DW72" s="180">
        <v>1686</v>
      </c>
      <c r="DX72" s="130">
        <v>4145</v>
      </c>
      <c r="DY72" s="229">
        <v>3557</v>
      </c>
      <c r="DZ72" s="229">
        <v>329</v>
      </c>
      <c r="EA72" s="229">
        <v>259</v>
      </c>
      <c r="EB72" s="212">
        <v>22</v>
      </c>
      <c r="EC72" s="208"/>
      <c r="ED72" s="183">
        <v>3</v>
      </c>
      <c r="EE72" s="3">
        <v>7518</v>
      </c>
      <c r="EF72" s="183">
        <v>7692</v>
      </c>
      <c r="EG72" s="130">
        <v>6936</v>
      </c>
      <c r="EH72" s="130"/>
      <c r="EI72" s="130"/>
      <c r="EJ72" s="130">
        <v>180</v>
      </c>
      <c r="EK72" s="183">
        <v>-1027</v>
      </c>
      <c r="EL72" s="183">
        <v>0</v>
      </c>
      <c r="EM72" s="183">
        <v>33</v>
      </c>
      <c r="EN72" s="226">
        <v>-462</v>
      </c>
      <c r="EO72" s="226">
        <v>26</v>
      </c>
      <c r="EP72" s="226">
        <v>4</v>
      </c>
      <c r="EQ72" s="226">
        <v>-144</v>
      </c>
      <c r="ER72" s="230">
        <v>5</v>
      </c>
      <c r="ES72" s="230">
        <v>6</v>
      </c>
      <c r="ET72" s="3">
        <v>0</v>
      </c>
      <c r="EU72" s="211">
        <v>0</v>
      </c>
      <c r="EV72" s="183">
        <v>400</v>
      </c>
      <c r="EW72" s="183">
        <v>0</v>
      </c>
      <c r="EX72" s="130">
        <v>400</v>
      </c>
      <c r="EY72" s="183">
        <v>400</v>
      </c>
      <c r="EZ72" s="3">
        <v>1740</v>
      </c>
      <c r="FA72" s="3">
        <v>1498</v>
      </c>
      <c r="FB72" s="3">
        <v>242</v>
      </c>
      <c r="FC72" s="3">
        <v>0</v>
      </c>
      <c r="FD72" s="226">
        <v>1878</v>
      </c>
      <c r="FE72" s="183">
        <v>1619</v>
      </c>
      <c r="FF72" s="183">
        <v>259</v>
      </c>
      <c r="FG72" s="183">
        <v>0</v>
      </c>
      <c r="FH72" s="230">
        <v>2399</v>
      </c>
      <c r="FI72" s="130">
        <v>1700</v>
      </c>
      <c r="FJ72" s="130">
        <v>699</v>
      </c>
      <c r="FK72" s="130">
        <v>0</v>
      </c>
      <c r="FL72" s="29">
        <v>2381.4756671899531</v>
      </c>
      <c r="FM72" s="139">
        <v>2727.7108433734938</v>
      </c>
      <c r="FN72" s="139">
        <v>3447.3902236951117</v>
      </c>
      <c r="FO72" s="172">
        <f t="shared" si="3"/>
        <v>161.68181818181819</v>
      </c>
      <c r="FP72" s="170">
        <f t="shared" si="4"/>
        <v>133.95345334036304</v>
      </c>
      <c r="FR72" s="175"/>
      <c r="FS72" s="195"/>
      <c r="FV72" s="175">
        <v>342</v>
      </c>
      <c r="FW72" s="2">
        <f t="shared" si="5"/>
        <v>-342</v>
      </c>
      <c r="FZ72" s="186"/>
      <c r="GA72" s="2"/>
      <c r="GB72" s="2"/>
    </row>
    <row r="73" spans="1:184" ht="13" x14ac:dyDescent="0.3">
      <c r="A73" s="77">
        <v>224</v>
      </c>
      <c r="B73" s="75" t="s">
        <v>72</v>
      </c>
      <c r="C73" s="179">
        <v>8778</v>
      </c>
      <c r="D73" s="138"/>
      <c r="E73" s="142">
        <v>0.13703838741601124</v>
      </c>
      <c r="F73" s="142">
        <v>115.30290966994788</v>
      </c>
      <c r="G73" s="183">
        <v>-6604.4657097288682</v>
      </c>
      <c r="H73" s="144"/>
      <c r="I73" s="186"/>
      <c r="K73" s="210">
        <v>11.283342841638026</v>
      </c>
      <c r="L73" s="143">
        <v>313.73889268626107</v>
      </c>
      <c r="M73" s="146">
        <v>13.6875</v>
      </c>
      <c r="N73" s="143">
        <v>8366.3704716336306</v>
      </c>
      <c r="O73" s="138">
        <v>13546</v>
      </c>
      <c r="P73" s="143">
        <v>6758</v>
      </c>
      <c r="Q73" s="184">
        <v>52789</v>
      </c>
      <c r="R73" s="184">
        <v>-46031</v>
      </c>
      <c r="S73" s="139">
        <v>30720</v>
      </c>
      <c r="T73" s="138">
        <v>17786</v>
      </c>
      <c r="U73" s="151"/>
      <c r="W73" s="183">
        <v>-537</v>
      </c>
      <c r="X73" s="183">
        <v>124</v>
      </c>
      <c r="Y73" s="184">
        <v>2062</v>
      </c>
      <c r="Z73" s="130">
        <v>2957</v>
      </c>
      <c r="AA73" s="130">
        <v>0</v>
      </c>
      <c r="AB73" s="130">
        <v>0</v>
      </c>
      <c r="AC73" s="184">
        <v>-895</v>
      </c>
      <c r="AD73" s="183">
        <v>0</v>
      </c>
      <c r="AE73" s="183">
        <v>0</v>
      </c>
      <c r="AF73" s="183">
        <v>0</v>
      </c>
      <c r="AG73" s="183">
        <v>-895</v>
      </c>
      <c r="AH73" s="183">
        <v>759</v>
      </c>
      <c r="AI73" s="183">
        <v>1570</v>
      </c>
      <c r="AJ73" s="167"/>
      <c r="AK73" s="183">
        <v>237</v>
      </c>
      <c r="AL73" s="183">
        <v>-18630</v>
      </c>
      <c r="AM73" s="180">
        <v>762</v>
      </c>
      <c r="AN73" s="139">
        <v>30720</v>
      </c>
      <c r="AO73" s="138">
        <v>27267</v>
      </c>
      <c r="AP73" s="184">
        <v>1193</v>
      </c>
      <c r="AQ73" s="138">
        <v>2260</v>
      </c>
      <c r="AR73" s="109">
        <v>20.75</v>
      </c>
      <c r="AS73" s="144"/>
      <c r="AT73" s="139">
        <v>147</v>
      </c>
      <c r="AU73" s="228">
        <v>8714</v>
      </c>
      <c r="AV73" s="138"/>
      <c r="AW73" s="224">
        <v>-1.2899725730130504E-2</v>
      </c>
      <c r="AX73" s="225">
        <v>117.96334747675364</v>
      </c>
      <c r="AY73" s="139">
        <v>-7014.8037640578377</v>
      </c>
      <c r="AZ73" s="144"/>
      <c r="BA73"/>
      <c r="BC73" s="189">
        <v>6.5341311931028612</v>
      </c>
      <c r="BD73" s="183">
        <v>261.99219646545788</v>
      </c>
      <c r="BE73" s="140">
        <v>11.493407078425422</v>
      </c>
      <c r="BF73" s="139">
        <v>8320.1744319485879</v>
      </c>
      <c r="BG73" s="184">
        <v>14534</v>
      </c>
      <c r="BH73" s="216">
        <v>6508</v>
      </c>
      <c r="BI73" s="216">
        <v>55601</v>
      </c>
      <c r="BJ73" s="216">
        <v>-49093</v>
      </c>
      <c r="BK73" s="216">
        <v>30780</v>
      </c>
      <c r="BL73" s="216">
        <v>18097</v>
      </c>
      <c r="BM73" s="151"/>
      <c r="BO73" s="216">
        <v>-495</v>
      </c>
      <c r="BP73" s="216">
        <v>107</v>
      </c>
      <c r="BQ73" s="216">
        <v>-604</v>
      </c>
      <c r="BR73" s="216">
        <v>2897</v>
      </c>
      <c r="BS73" s="216">
        <v>0</v>
      </c>
      <c r="BT73" s="216">
        <v>0</v>
      </c>
      <c r="BU73" s="216">
        <v>-3501</v>
      </c>
      <c r="BV73" s="183">
        <v>0</v>
      </c>
      <c r="BW73" s="183">
        <v>0</v>
      </c>
      <c r="BX73" s="183">
        <v>0</v>
      </c>
      <c r="BY73" s="183">
        <v>-3501</v>
      </c>
      <c r="BZ73" s="183">
        <v>-2742</v>
      </c>
      <c r="CA73" s="183">
        <v>-873</v>
      </c>
      <c r="CB73" s="167"/>
      <c r="CC73" s="183">
        <v>1069</v>
      </c>
      <c r="CD73" s="183">
        <v>-13656</v>
      </c>
      <c r="CE73" s="180">
        <v>-3195</v>
      </c>
      <c r="CF73" s="139">
        <v>30780</v>
      </c>
      <c r="CG73" s="216">
        <v>27314</v>
      </c>
      <c r="CH73" s="216">
        <v>1218</v>
      </c>
      <c r="CI73" s="216">
        <v>2248</v>
      </c>
      <c r="CJ73" s="212">
        <v>20.75</v>
      </c>
      <c r="CK73" s="144"/>
      <c r="CL73" s="130">
        <v>254</v>
      </c>
      <c r="CM73" s="228">
        <v>8696</v>
      </c>
      <c r="CN73" s="138"/>
      <c r="CO73" s="142">
        <v>0.54583242178954272</v>
      </c>
      <c r="CP73" s="142">
        <v>102.86632432257856</v>
      </c>
      <c r="CQ73" s="183">
        <v>-6627.2999080036798</v>
      </c>
      <c r="CR73" s="144"/>
      <c r="CS73"/>
      <c r="CU73" s="232">
        <v>8.8290120318590066</v>
      </c>
      <c r="CV73" s="143">
        <v>380.28978840846366</v>
      </c>
      <c r="CW73" s="146">
        <v>17.851089946463958</v>
      </c>
      <c r="CX73" s="143">
        <v>7775.7589696412142</v>
      </c>
      <c r="CY73" s="131">
        <v>14785</v>
      </c>
      <c r="CZ73" s="229">
        <v>6899</v>
      </c>
      <c r="DA73" s="229">
        <v>57073</v>
      </c>
      <c r="DB73" s="216">
        <v>-50174</v>
      </c>
      <c r="DC73" s="229">
        <v>31969</v>
      </c>
      <c r="DD73" s="229">
        <v>23058</v>
      </c>
      <c r="DE73" s="151"/>
      <c r="DG73" s="229">
        <v>-402</v>
      </c>
      <c r="DH73" s="229">
        <v>128</v>
      </c>
      <c r="DI73" s="229">
        <v>4579</v>
      </c>
      <c r="DJ73" s="229">
        <v>2935</v>
      </c>
      <c r="DK73" s="229">
        <v>0</v>
      </c>
      <c r="DL73" s="229">
        <v>0</v>
      </c>
      <c r="DM73" s="229">
        <v>1644</v>
      </c>
      <c r="DN73" s="130">
        <v>0</v>
      </c>
      <c r="DO73" s="130">
        <v>0</v>
      </c>
      <c r="DP73" s="130">
        <v>0</v>
      </c>
      <c r="DQ73" s="130">
        <v>1644</v>
      </c>
      <c r="DR73" s="130">
        <v>-1098</v>
      </c>
      <c r="DS73" s="130">
        <v>4308</v>
      </c>
      <c r="DT73" s="167"/>
      <c r="DU73" s="183">
        <v>-840</v>
      </c>
      <c r="DV73" s="183">
        <v>-8731</v>
      </c>
      <c r="DW73" s="180">
        <v>3214</v>
      </c>
      <c r="DX73" s="130">
        <v>31969</v>
      </c>
      <c r="DY73" s="229">
        <v>28608</v>
      </c>
      <c r="DZ73" s="229">
        <v>1287</v>
      </c>
      <c r="EA73" s="229">
        <v>2074</v>
      </c>
      <c r="EB73" s="212">
        <v>20.75</v>
      </c>
      <c r="EC73" s="208"/>
      <c r="ED73" s="183">
        <v>216.20588235294099</v>
      </c>
      <c r="EE73" s="3">
        <v>35247</v>
      </c>
      <c r="EF73" s="183">
        <v>37260</v>
      </c>
      <c r="EG73" s="130">
        <v>38378</v>
      </c>
      <c r="EH73" s="130"/>
      <c r="EI73" s="130"/>
      <c r="EJ73" s="130">
        <v>1000</v>
      </c>
      <c r="EK73" s="183">
        <v>-1448</v>
      </c>
      <c r="EL73" s="183">
        <v>33</v>
      </c>
      <c r="EM73" s="183">
        <v>607</v>
      </c>
      <c r="EN73" s="226">
        <v>-2729</v>
      </c>
      <c r="EO73" s="226">
        <v>55</v>
      </c>
      <c r="EP73" s="226">
        <v>352</v>
      </c>
      <c r="EQ73" s="226">
        <v>-1401</v>
      </c>
      <c r="ER73" s="230">
        <v>22</v>
      </c>
      <c r="ES73" s="230">
        <v>285</v>
      </c>
      <c r="ET73" s="3">
        <v>35000</v>
      </c>
      <c r="EU73" s="211">
        <v>-16500</v>
      </c>
      <c r="EV73" s="183">
        <v>9320</v>
      </c>
      <c r="EW73" s="183">
        <v>5200</v>
      </c>
      <c r="EX73" s="130">
        <v>7500</v>
      </c>
      <c r="EY73" s="183">
        <v>-700</v>
      </c>
      <c r="EZ73" s="3">
        <v>59075</v>
      </c>
      <c r="FA73" s="3">
        <v>39932</v>
      </c>
      <c r="FB73" s="3">
        <v>19143</v>
      </c>
      <c r="FC73" s="3">
        <v>0</v>
      </c>
      <c r="FD73" s="226">
        <v>59939</v>
      </c>
      <c r="FE73" s="183">
        <v>39883</v>
      </c>
      <c r="FF73" s="183">
        <v>20056</v>
      </c>
      <c r="FG73" s="183">
        <v>0</v>
      </c>
      <c r="FH73" s="230">
        <v>58007</v>
      </c>
      <c r="FI73" s="130">
        <v>38901</v>
      </c>
      <c r="FJ73" s="130">
        <v>19106</v>
      </c>
      <c r="FK73" s="130">
        <v>0</v>
      </c>
      <c r="FL73" s="29">
        <v>7174.7550694919119</v>
      </c>
      <c r="FM73" s="139">
        <v>7561.1659398668808</v>
      </c>
      <c r="FN73" s="139">
        <v>7627.6448942042316</v>
      </c>
      <c r="FO73" s="172">
        <f t="shared" si="3"/>
        <v>1378.698795180723</v>
      </c>
      <c r="FP73" s="170">
        <f t="shared" si="4"/>
        <v>158.54401968499573</v>
      </c>
      <c r="FR73" s="175"/>
      <c r="FS73" s="195"/>
      <c r="FV73" s="175">
        <v>3101</v>
      </c>
      <c r="FW73" s="2">
        <f t="shared" si="5"/>
        <v>-3101</v>
      </c>
      <c r="FZ73" s="186"/>
      <c r="GA73" s="2"/>
      <c r="GB73" s="2"/>
    </row>
    <row r="74" spans="1:184" ht="13" x14ac:dyDescent="0.3">
      <c r="A74" s="77">
        <v>226</v>
      </c>
      <c r="B74" s="75" t="s">
        <v>73</v>
      </c>
      <c r="C74" s="179">
        <v>4031</v>
      </c>
      <c r="D74" s="138"/>
      <c r="E74" s="142">
        <v>1809</v>
      </c>
      <c r="F74" s="142">
        <v>50.02235564639755</v>
      </c>
      <c r="G74" s="183">
        <v>-1384.271892830563</v>
      </c>
      <c r="H74" s="144"/>
      <c r="I74" s="186"/>
      <c r="K74" s="210">
        <v>54.103254507141187</v>
      </c>
      <c r="L74" s="143">
        <v>2322.5006201935003</v>
      </c>
      <c r="M74" s="146">
        <v>111.63078631864363</v>
      </c>
      <c r="N74" s="143">
        <v>7593.8972959563389</v>
      </c>
      <c r="O74" s="138">
        <v>8073</v>
      </c>
      <c r="P74" s="143">
        <v>4423</v>
      </c>
      <c r="Q74" s="184">
        <v>29587</v>
      </c>
      <c r="R74" s="184">
        <v>-25164</v>
      </c>
      <c r="S74" s="139">
        <v>12013</v>
      </c>
      <c r="T74" s="138">
        <v>14876</v>
      </c>
      <c r="U74" s="151"/>
      <c r="W74" s="183">
        <v>62</v>
      </c>
      <c r="X74" s="183">
        <v>21</v>
      </c>
      <c r="Y74" s="184">
        <v>1808</v>
      </c>
      <c r="Z74" s="130">
        <v>1839</v>
      </c>
      <c r="AA74" s="130">
        <v>0</v>
      </c>
      <c r="AB74" s="130">
        <v>0</v>
      </c>
      <c r="AC74" s="184">
        <v>-31</v>
      </c>
      <c r="AD74" s="183">
        <v>0</v>
      </c>
      <c r="AE74" s="183">
        <v>0</v>
      </c>
      <c r="AF74" s="184">
        <v>0</v>
      </c>
      <c r="AG74" s="183">
        <v>-31</v>
      </c>
      <c r="AH74" s="183">
        <v>4052</v>
      </c>
      <c r="AI74" s="183">
        <v>1803</v>
      </c>
      <c r="AJ74" s="167"/>
      <c r="AK74" s="183">
        <v>32</v>
      </c>
      <c r="AL74" s="183">
        <v>0</v>
      </c>
      <c r="AM74" s="180">
        <v>952</v>
      </c>
      <c r="AN74" s="139">
        <v>12013</v>
      </c>
      <c r="AO74" s="138">
        <v>9626</v>
      </c>
      <c r="AP74" s="184">
        <v>1298</v>
      </c>
      <c r="AQ74" s="138">
        <v>1089</v>
      </c>
      <c r="AR74" s="109">
        <v>21</v>
      </c>
      <c r="AS74" s="144"/>
      <c r="AT74" s="139">
        <v>58</v>
      </c>
      <c r="AU74" s="228">
        <v>3949</v>
      </c>
      <c r="AV74" s="138"/>
      <c r="AW74" s="224">
        <v>-1.7310379600950803</v>
      </c>
      <c r="AX74" s="225">
        <v>48.7723704866562</v>
      </c>
      <c r="AY74" s="139">
        <v>-1282.3499620157002</v>
      </c>
      <c r="AZ74" s="144"/>
      <c r="BA74"/>
      <c r="BC74" s="189">
        <v>40.507272293752983</v>
      </c>
      <c r="BD74" s="183">
        <v>2451.0002532286658</v>
      </c>
      <c r="BE74" s="140">
        <v>98.396696746880565</v>
      </c>
      <c r="BF74" s="139">
        <v>9091.9220055710302</v>
      </c>
      <c r="BG74" s="184">
        <v>8245</v>
      </c>
      <c r="BH74" s="216">
        <v>4628</v>
      </c>
      <c r="BI74" s="216">
        <v>34950</v>
      </c>
      <c r="BJ74" s="216">
        <v>-30310</v>
      </c>
      <c r="BK74" s="216">
        <v>12537</v>
      </c>
      <c r="BL74" s="216">
        <v>14685</v>
      </c>
      <c r="BM74" s="151"/>
      <c r="BO74" s="216">
        <v>51</v>
      </c>
      <c r="BP74" s="216">
        <v>32</v>
      </c>
      <c r="BQ74" s="216">
        <v>-3005</v>
      </c>
      <c r="BR74" s="216">
        <v>1890</v>
      </c>
      <c r="BS74" s="216">
        <v>0</v>
      </c>
      <c r="BT74" s="216">
        <v>0</v>
      </c>
      <c r="BU74" s="216">
        <v>-4895</v>
      </c>
      <c r="BV74" s="183">
        <v>0</v>
      </c>
      <c r="BW74" s="183">
        <v>0</v>
      </c>
      <c r="BX74" s="184">
        <v>0</v>
      </c>
      <c r="BY74" s="183">
        <v>-4895</v>
      </c>
      <c r="BZ74" s="183">
        <v>-843</v>
      </c>
      <c r="CA74" s="183">
        <v>1153</v>
      </c>
      <c r="CB74" s="167"/>
      <c r="CC74" s="183">
        <v>-69</v>
      </c>
      <c r="CD74" s="183">
        <v>0</v>
      </c>
      <c r="CE74" s="180">
        <v>396</v>
      </c>
      <c r="CF74" s="139">
        <v>12537</v>
      </c>
      <c r="CG74" s="216">
        <v>10075</v>
      </c>
      <c r="CH74" s="216">
        <v>1373</v>
      </c>
      <c r="CI74" s="216">
        <v>1089</v>
      </c>
      <c r="CJ74" s="213">
        <v>21.5</v>
      </c>
      <c r="CK74" s="144"/>
      <c r="CL74" s="130">
        <v>289</v>
      </c>
      <c r="CM74" s="228">
        <v>3858</v>
      </c>
      <c r="CN74" s="138"/>
      <c r="CO74" s="142">
        <v>4189</v>
      </c>
      <c r="CP74" s="142">
        <v>46.644496374857688</v>
      </c>
      <c r="CQ74" s="183">
        <v>-1437.0139968895801</v>
      </c>
      <c r="CR74" s="144"/>
      <c r="CS74"/>
      <c r="CU74" s="232">
        <v>50.195467692209895</v>
      </c>
      <c r="CV74" s="143">
        <v>2437.2731985484706</v>
      </c>
      <c r="CW74" s="146">
        <v>113.83777239709443</v>
      </c>
      <c r="CX74" s="143">
        <v>7814.670813893209</v>
      </c>
      <c r="CY74" s="131">
        <v>7387</v>
      </c>
      <c r="CZ74" s="229">
        <v>4225</v>
      </c>
      <c r="DA74" s="229">
        <v>29314</v>
      </c>
      <c r="DB74" s="216">
        <v>-25089</v>
      </c>
      <c r="DC74" s="229">
        <v>12663</v>
      </c>
      <c r="DD74" s="229">
        <v>16547</v>
      </c>
      <c r="DE74" s="151"/>
      <c r="DG74" s="229">
        <v>53</v>
      </c>
      <c r="DH74" s="229">
        <v>14</v>
      </c>
      <c r="DI74" s="229">
        <v>4188</v>
      </c>
      <c r="DJ74" s="229">
        <v>1987</v>
      </c>
      <c r="DK74" s="229">
        <v>0</v>
      </c>
      <c r="DL74" s="229">
        <v>0</v>
      </c>
      <c r="DM74" s="229">
        <v>2201</v>
      </c>
      <c r="DN74" s="130">
        <v>0</v>
      </c>
      <c r="DO74" s="130">
        <v>0</v>
      </c>
      <c r="DP74" s="131">
        <v>0</v>
      </c>
      <c r="DQ74" s="130">
        <v>2201</v>
      </c>
      <c r="DR74" s="130">
        <v>1359</v>
      </c>
      <c r="DS74" s="130">
        <v>-14</v>
      </c>
      <c r="DT74" s="167"/>
      <c r="DU74" s="183">
        <v>168</v>
      </c>
      <c r="DV74" s="183">
        <v>0</v>
      </c>
      <c r="DW74" s="180">
        <v>-336</v>
      </c>
      <c r="DX74" s="130">
        <v>12663</v>
      </c>
      <c r="DY74" s="229">
        <v>10149</v>
      </c>
      <c r="DZ74" s="229">
        <v>1524</v>
      </c>
      <c r="EA74" s="229">
        <v>990</v>
      </c>
      <c r="EB74" s="213">
        <v>21.5</v>
      </c>
      <c r="EC74" s="209"/>
      <c r="ED74" s="183">
        <v>19.772058823529399</v>
      </c>
      <c r="EE74" s="3">
        <v>19257</v>
      </c>
      <c r="EF74" s="183">
        <v>19985</v>
      </c>
      <c r="EG74" s="130">
        <v>19646</v>
      </c>
      <c r="EH74" s="130"/>
      <c r="EI74" s="130"/>
      <c r="EJ74" s="130">
        <v>545</v>
      </c>
      <c r="EK74" s="183">
        <v>-1022</v>
      </c>
      <c r="EL74" s="183">
        <v>100</v>
      </c>
      <c r="EM74" s="183">
        <v>71</v>
      </c>
      <c r="EN74" s="226">
        <v>-965</v>
      </c>
      <c r="EO74" s="226">
        <v>-1</v>
      </c>
      <c r="EP74" s="226">
        <v>209</v>
      </c>
      <c r="EQ74" s="226">
        <v>-691</v>
      </c>
      <c r="ER74" s="230">
        <v>279</v>
      </c>
      <c r="ES74" s="230">
        <v>90</v>
      </c>
      <c r="ET74" s="3">
        <v>0</v>
      </c>
      <c r="EU74" s="211">
        <v>0</v>
      </c>
      <c r="EV74" s="183">
        <v>0</v>
      </c>
      <c r="EW74" s="183">
        <v>0</v>
      </c>
      <c r="EX74" s="130">
        <v>0</v>
      </c>
      <c r="EY74" s="183">
        <v>0</v>
      </c>
      <c r="EZ74" s="3">
        <v>13000</v>
      </c>
      <c r="FA74" s="3">
        <v>0</v>
      </c>
      <c r="FB74" s="3">
        <v>13000</v>
      </c>
      <c r="FC74" s="3">
        <v>611</v>
      </c>
      <c r="FD74" s="226">
        <v>13000</v>
      </c>
      <c r="FE74" s="183">
        <v>0</v>
      </c>
      <c r="FF74" s="183">
        <v>13000</v>
      </c>
      <c r="FG74" s="183">
        <v>575</v>
      </c>
      <c r="FH74" s="230">
        <v>13000</v>
      </c>
      <c r="FI74" s="130">
        <v>0</v>
      </c>
      <c r="FJ74" s="130">
        <v>13000</v>
      </c>
      <c r="FK74" s="130">
        <v>723</v>
      </c>
      <c r="FL74" s="29">
        <v>6008.930786405358</v>
      </c>
      <c r="FM74" s="139">
        <v>6708.0273486958722</v>
      </c>
      <c r="FN74" s="139">
        <v>7203.2141005702433</v>
      </c>
      <c r="FO74" s="172">
        <f t="shared" si="3"/>
        <v>472.04651162790697</v>
      </c>
      <c r="FP74" s="170">
        <f t="shared" si="4"/>
        <v>122.35523888748237</v>
      </c>
      <c r="FR74" s="175"/>
      <c r="FS74" s="195"/>
      <c r="FV74" s="175">
        <v>291</v>
      </c>
      <c r="FW74" s="2">
        <f t="shared" si="5"/>
        <v>-291</v>
      </c>
      <c r="FZ74" s="186"/>
      <c r="GA74" s="2"/>
      <c r="GB74" s="2"/>
    </row>
    <row r="75" spans="1:184" ht="13" x14ac:dyDescent="0.3">
      <c r="A75" s="77">
        <v>230</v>
      </c>
      <c r="B75" s="75" t="s">
        <v>74</v>
      </c>
      <c r="C75" s="179">
        <v>2390</v>
      </c>
      <c r="D75" s="138"/>
      <c r="E75" s="142">
        <v>-0.64953271028037385</v>
      </c>
      <c r="F75" s="142">
        <v>31.253986477867073</v>
      </c>
      <c r="G75" s="183">
        <v>-764.85355648535574</v>
      </c>
      <c r="H75" s="144"/>
      <c r="I75" s="186"/>
      <c r="K75" s="210">
        <v>73.537155445704158</v>
      </c>
      <c r="L75" s="143">
        <v>1075.7322175732218</v>
      </c>
      <c r="M75" s="146">
        <v>55.967972803721601</v>
      </c>
      <c r="N75" s="143">
        <v>7015.4811715481173</v>
      </c>
      <c r="O75" s="138">
        <v>3591</v>
      </c>
      <c r="P75" s="143">
        <v>1469</v>
      </c>
      <c r="Q75" s="184">
        <v>16088</v>
      </c>
      <c r="R75" s="184">
        <v>-14619</v>
      </c>
      <c r="S75" s="139">
        <v>6411</v>
      </c>
      <c r="T75" s="138">
        <v>7798</v>
      </c>
      <c r="U75" s="151"/>
      <c r="W75" s="183">
        <v>-40</v>
      </c>
      <c r="X75" s="183">
        <v>271</v>
      </c>
      <c r="Y75" s="184">
        <v>-179</v>
      </c>
      <c r="Z75" s="130">
        <v>923</v>
      </c>
      <c r="AA75" s="130">
        <v>0</v>
      </c>
      <c r="AB75" s="130">
        <v>0</v>
      </c>
      <c r="AC75" s="184">
        <v>-1102</v>
      </c>
      <c r="AD75" s="184">
        <v>0</v>
      </c>
      <c r="AE75" s="183">
        <v>0</v>
      </c>
      <c r="AF75" s="183">
        <v>0</v>
      </c>
      <c r="AG75" s="183">
        <v>-1102</v>
      </c>
      <c r="AH75" s="183">
        <v>8472</v>
      </c>
      <c r="AI75" s="183">
        <v>-342</v>
      </c>
      <c r="AJ75" s="167"/>
      <c r="AK75" s="183">
        <v>71</v>
      </c>
      <c r="AL75" s="183">
        <v>-174</v>
      </c>
      <c r="AM75" s="180">
        <v>-404</v>
      </c>
      <c r="AN75" s="139">
        <v>6411</v>
      </c>
      <c r="AO75" s="138">
        <v>5092</v>
      </c>
      <c r="AP75" s="184">
        <v>615</v>
      </c>
      <c r="AQ75" s="138">
        <v>704</v>
      </c>
      <c r="AR75" s="109">
        <v>20.5</v>
      </c>
      <c r="AS75" s="144"/>
      <c r="AT75" s="139">
        <v>271</v>
      </c>
      <c r="AU75" s="228">
        <v>2342</v>
      </c>
      <c r="AV75" s="138"/>
      <c r="AW75" s="224">
        <v>-1.1719469266179259</v>
      </c>
      <c r="AX75" s="225">
        <v>26.191977800201816</v>
      </c>
      <c r="AY75" s="139">
        <v>-1134.073441502989</v>
      </c>
      <c r="AZ75" s="144"/>
      <c r="BA75"/>
      <c r="BC75" s="189">
        <v>74.513155485013129</v>
      </c>
      <c r="BD75" s="183">
        <v>462.85226302305722</v>
      </c>
      <c r="BE75" s="140">
        <v>22.664833591109584</v>
      </c>
      <c r="BF75" s="139">
        <v>7453.8855678906921</v>
      </c>
      <c r="BG75" s="184">
        <v>3720</v>
      </c>
      <c r="BH75" s="216">
        <v>1191</v>
      </c>
      <c r="BI75" s="216">
        <v>16665</v>
      </c>
      <c r="BJ75" s="216">
        <v>-15474</v>
      </c>
      <c r="BK75" s="216">
        <v>6814</v>
      </c>
      <c r="BL75" s="216">
        <v>7851</v>
      </c>
      <c r="BM75" s="151"/>
      <c r="BO75" s="216">
        <v>-36</v>
      </c>
      <c r="BP75" s="216">
        <v>268</v>
      </c>
      <c r="BQ75" s="216">
        <v>-577</v>
      </c>
      <c r="BR75" s="216">
        <v>903</v>
      </c>
      <c r="BS75" s="216">
        <v>0</v>
      </c>
      <c r="BT75" s="216">
        <v>0</v>
      </c>
      <c r="BU75" s="216">
        <v>-1480</v>
      </c>
      <c r="BV75" s="184">
        <v>0</v>
      </c>
      <c r="BW75" s="183">
        <v>0</v>
      </c>
      <c r="BX75" s="183">
        <v>0</v>
      </c>
      <c r="BY75" s="183">
        <v>-1480</v>
      </c>
      <c r="BZ75" s="183">
        <v>6992</v>
      </c>
      <c r="CA75" s="183">
        <v>-487</v>
      </c>
      <c r="CB75" s="167"/>
      <c r="CC75" s="183">
        <v>88</v>
      </c>
      <c r="CD75" s="183">
        <v>-347</v>
      </c>
      <c r="CE75" s="180">
        <v>-825</v>
      </c>
      <c r="CF75" s="139">
        <v>6814</v>
      </c>
      <c r="CG75" s="216">
        <v>5453</v>
      </c>
      <c r="CH75" s="216">
        <v>637</v>
      </c>
      <c r="CI75" s="216">
        <v>724</v>
      </c>
      <c r="CJ75" s="212">
        <v>20.5</v>
      </c>
      <c r="CK75" s="144"/>
      <c r="CL75" s="130">
        <v>275</v>
      </c>
      <c r="CM75" s="228">
        <v>2322</v>
      </c>
      <c r="CN75" s="138"/>
      <c r="CO75" s="142">
        <v>4.2849604221635884</v>
      </c>
      <c r="CP75" s="142">
        <v>21.675307275586881</v>
      </c>
      <c r="CQ75" s="183">
        <v>-581.39534883720933</v>
      </c>
      <c r="CR75" s="144"/>
      <c r="CS75"/>
      <c r="CU75" s="232">
        <v>77.58682634730539</v>
      </c>
      <c r="CV75" s="143">
        <v>844.96124031007753</v>
      </c>
      <c r="CW75" s="146">
        <v>43.49407834801093</v>
      </c>
      <c r="CX75" s="143">
        <v>7090.8699397071487</v>
      </c>
      <c r="CY75" s="131">
        <v>3617</v>
      </c>
      <c r="CZ75" s="229">
        <v>1190</v>
      </c>
      <c r="DA75" s="229">
        <v>15807</v>
      </c>
      <c r="DB75" s="216">
        <v>-14617</v>
      </c>
      <c r="DC75" s="229">
        <v>6907</v>
      </c>
      <c r="DD75" s="229">
        <v>9070</v>
      </c>
      <c r="DE75" s="151"/>
      <c r="DG75" s="229">
        <v>-32</v>
      </c>
      <c r="DH75" s="229">
        <v>264</v>
      </c>
      <c r="DI75" s="229">
        <v>1592</v>
      </c>
      <c r="DJ75" s="229">
        <v>840</v>
      </c>
      <c r="DK75" s="229">
        <v>0</v>
      </c>
      <c r="DL75" s="229">
        <v>0</v>
      </c>
      <c r="DM75" s="229">
        <v>752</v>
      </c>
      <c r="DN75" s="131">
        <v>0</v>
      </c>
      <c r="DO75" s="130">
        <v>0</v>
      </c>
      <c r="DP75" s="130">
        <v>0</v>
      </c>
      <c r="DQ75" s="130">
        <v>752</v>
      </c>
      <c r="DR75" s="130">
        <v>7743</v>
      </c>
      <c r="DS75" s="130">
        <v>1592</v>
      </c>
      <c r="DT75" s="167"/>
      <c r="DU75" s="183">
        <v>3</v>
      </c>
      <c r="DV75" s="183">
        <v>-347</v>
      </c>
      <c r="DW75" s="180">
        <v>1316</v>
      </c>
      <c r="DX75" s="130">
        <v>6907</v>
      </c>
      <c r="DY75" s="229">
        <v>5551</v>
      </c>
      <c r="DZ75" s="229">
        <v>689</v>
      </c>
      <c r="EA75" s="229">
        <v>667</v>
      </c>
      <c r="EB75" s="212">
        <v>20.5</v>
      </c>
      <c r="EC75" s="208"/>
      <c r="ED75" s="183">
        <v>142.66911764705799</v>
      </c>
      <c r="EE75" s="3">
        <v>11182</v>
      </c>
      <c r="EF75" s="183">
        <v>11430</v>
      </c>
      <c r="EG75" s="130">
        <v>11084</v>
      </c>
      <c r="EH75" s="130"/>
      <c r="EI75" s="130"/>
      <c r="EJ75" s="130">
        <v>300</v>
      </c>
      <c r="EK75" s="183">
        <v>-463</v>
      </c>
      <c r="EL75" s="183">
        <v>194</v>
      </c>
      <c r="EM75" s="183">
        <v>207</v>
      </c>
      <c r="EN75" s="226">
        <v>-409</v>
      </c>
      <c r="EO75" s="226">
        <v>2</v>
      </c>
      <c r="EP75" s="226">
        <v>69</v>
      </c>
      <c r="EQ75" s="226">
        <v>-277</v>
      </c>
      <c r="ER75" s="230">
        <v>0</v>
      </c>
      <c r="ES75" s="230">
        <v>1</v>
      </c>
      <c r="ET75" s="3">
        <v>0</v>
      </c>
      <c r="EU75" s="211">
        <v>0</v>
      </c>
      <c r="EV75" s="183">
        <v>0</v>
      </c>
      <c r="EW75" s="183">
        <v>0</v>
      </c>
      <c r="EX75" s="130">
        <v>0</v>
      </c>
      <c r="EY75" s="183">
        <v>0</v>
      </c>
      <c r="EZ75" s="3">
        <v>3126</v>
      </c>
      <c r="FA75" s="3">
        <v>2779</v>
      </c>
      <c r="FB75" s="3">
        <v>347</v>
      </c>
      <c r="FC75" s="3">
        <v>246</v>
      </c>
      <c r="FD75" s="226">
        <v>2779</v>
      </c>
      <c r="FE75" s="183">
        <v>2432</v>
      </c>
      <c r="FF75" s="183">
        <v>347</v>
      </c>
      <c r="FG75" s="183">
        <v>246</v>
      </c>
      <c r="FH75" s="230">
        <v>2431</v>
      </c>
      <c r="FI75" s="130">
        <v>2084</v>
      </c>
      <c r="FJ75" s="130">
        <v>347</v>
      </c>
      <c r="FK75" s="130">
        <v>246</v>
      </c>
      <c r="FL75" s="29">
        <v>4277.8242677824273</v>
      </c>
      <c r="FM75" s="139">
        <v>3717.3356105892399</v>
      </c>
      <c r="FN75" s="139">
        <v>3467.7002583979324</v>
      </c>
      <c r="FO75" s="172">
        <f t="shared" si="3"/>
        <v>270.78048780487802</v>
      </c>
      <c r="FP75" s="170">
        <f t="shared" si="4"/>
        <v>116.61519715972354</v>
      </c>
      <c r="FR75" s="175"/>
      <c r="FS75" s="195"/>
      <c r="FV75" s="175">
        <v>17</v>
      </c>
      <c r="FW75" s="2">
        <f t="shared" si="5"/>
        <v>-17</v>
      </c>
      <c r="FZ75" s="186"/>
      <c r="GA75" s="2"/>
      <c r="GB75" s="2"/>
    </row>
    <row r="76" spans="1:184" ht="13" x14ac:dyDescent="0.3">
      <c r="A76" s="77">
        <v>231</v>
      </c>
      <c r="B76" s="75" t="s">
        <v>75</v>
      </c>
      <c r="C76" s="179">
        <v>1262</v>
      </c>
      <c r="D76" s="138"/>
      <c r="E76" s="142">
        <v>0.70789473684210524</v>
      </c>
      <c r="F76" s="142">
        <v>55.972434915773356</v>
      </c>
      <c r="G76" s="183">
        <v>-4427.0998415213953</v>
      </c>
      <c r="H76" s="144"/>
      <c r="I76" s="186"/>
      <c r="K76" s="210">
        <v>61.872813808131198</v>
      </c>
      <c r="L76" s="143">
        <v>15.055467511885896</v>
      </c>
      <c r="M76" s="146">
        <v>0.56667756169308703</v>
      </c>
      <c r="N76" s="143">
        <v>9697.3058637083996</v>
      </c>
      <c r="O76" s="138">
        <v>4444</v>
      </c>
      <c r="P76" s="143">
        <v>3180</v>
      </c>
      <c r="Q76" s="184">
        <v>11490</v>
      </c>
      <c r="R76" s="184">
        <v>-8310</v>
      </c>
      <c r="S76" s="139">
        <v>6662</v>
      </c>
      <c r="T76" s="138">
        <v>1912</v>
      </c>
      <c r="U76" s="151"/>
      <c r="W76" s="183">
        <v>-38</v>
      </c>
      <c r="X76" s="183">
        <v>5</v>
      </c>
      <c r="Y76" s="184">
        <v>231</v>
      </c>
      <c r="Z76" s="130">
        <v>1625</v>
      </c>
      <c r="AA76" s="130">
        <v>0</v>
      </c>
      <c r="AB76" s="130">
        <v>0</v>
      </c>
      <c r="AC76" s="184">
        <v>-1394</v>
      </c>
      <c r="AD76" s="184">
        <v>0</v>
      </c>
      <c r="AE76" s="184">
        <v>0</v>
      </c>
      <c r="AF76" s="183">
        <v>0</v>
      </c>
      <c r="AG76" s="183">
        <v>-1394</v>
      </c>
      <c r="AH76" s="183">
        <v>6080</v>
      </c>
      <c r="AI76" s="183">
        <v>-358</v>
      </c>
      <c r="AJ76" s="167"/>
      <c r="AK76" s="183">
        <v>-188</v>
      </c>
      <c r="AL76" s="183">
        <v>-342</v>
      </c>
      <c r="AM76" s="180">
        <v>76</v>
      </c>
      <c r="AN76" s="139">
        <v>6662</v>
      </c>
      <c r="AO76" s="138">
        <v>4970</v>
      </c>
      <c r="AP76" s="184">
        <v>1082</v>
      </c>
      <c r="AQ76" s="138">
        <v>610</v>
      </c>
      <c r="AR76" s="109">
        <v>22</v>
      </c>
      <c r="AS76" s="144"/>
      <c r="AT76" s="139">
        <v>179</v>
      </c>
      <c r="AU76" s="228">
        <v>1246</v>
      </c>
      <c r="AV76" s="138"/>
      <c r="AW76" s="224">
        <v>-0.58366375892149092</v>
      </c>
      <c r="AX76" s="225">
        <v>59.97335701598579</v>
      </c>
      <c r="AY76" s="139">
        <v>-4450.2407704654897</v>
      </c>
      <c r="AZ76" s="144"/>
      <c r="BA76"/>
      <c r="BC76" s="189">
        <v>60.480741384303506</v>
      </c>
      <c r="BD76" s="183">
        <v>20.866773675762442</v>
      </c>
      <c r="BE76" s="140">
        <v>0.68882920810045734</v>
      </c>
      <c r="BF76" s="139">
        <v>11056.982343499198</v>
      </c>
      <c r="BG76" s="184">
        <v>4599</v>
      </c>
      <c r="BH76" s="216">
        <v>3068</v>
      </c>
      <c r="BI76" s="216">
        <v>11721</v>
      </c>
      <c r="BJ76" s="216">
        <v>-8653</v>
      </c>
      <c r="BK76" s="216">
        <v>6360</v>
      </c>
      <c r="BL76" s="216">
        <v>1832</v>
      </c>
      <c r="BM76" s="151"/>
      <c r="BO76" s="216">
        <v>-45</v>
      </c>
      <c r="BP76" s="216">
        <v>1</v>
      </c>
      <c r="BQ76" s="216">
        <v>-505</v>
      </c>
      <c r="BR76" s="216">
        <v>955</v>
      </c>
      <c r="BS76" s="216">
        <v>0</v>
      </c>
      <c r="BT76" s="216">
        <v>0</v>
      </c>
      <c r="BU76" s="216">
        <v>-1460</v>
      </c>
      <c r="BV76" s="184">
        <v>0</v>
      </c>
      <c r="BW76" s="184">
        <v>0</v>
      </c>
      <c r="BX76" s="183">
        <v>0</v>
      </c>
      <c r="BY76" s="183">
        <v>-1460</v>
      </c>
      <c r="BZ76" s="183">
        <v>5732</v>
      </c>
      <c r="CA76" s="183">
        <v>-571</v>
      </c>
      <c r="CB76" s="167"/>
      <c r="CC76" s="183">
        <v>-208</v>
      </c>
      <c r="CD76" s="183">
        <v>-1200</v>
      </c>
      <c r="CE76" s="180">
        <v>-1070</v>
      </c>
      <c r="CF76" s="139">
        <v>6360</v>
      </c>
      <c r="CG76" s="216">
        <v>4745</v>
      </c>
      <c r="CH76" s="216">
        <v>749</v>
      </c>
      <c r="CI76" s="216">
        <v>866</v>
      </c>
      <c r="CJ76" s="212">
        <v>22</v>
      </c>
      <c r="CK76" s="144"/>
      <c r="CL76" s="130">
        <v>286</v>
      </c>
      <c r="CM76" s="228">
        <v>1278</v>
      </c>
      <c r="CN76" s="138"/>
      <c r="CO76" s="142">
        <v>6.4066852367688026E-2</v>
      </c>
      <c r="CP76" s="142">
        <v>63.395379757354164</v>
      </c>
      <c r="CQ76" s="183">
        <v>-4739.4366197183099</v>
      </c>
      <c r="CR76" s="144"/>
      <c r="CS76"/>
      <c r="CU76" s="232">
        <v>55.160783857649591</v>
      </c>
      <c r="CV76" s="143">
        <v>262.91079812206573</v>
      </c>
      <c r="CW76" s="146">
        <v>8.6488011283497883</v>
      </c>
      <c r="CX76" s="143">
        <v>11095.461658841941</v>
      </c>
      <c r="CY76" s="131">
        <v>4531</v>
      </c>
      <c r="CZ76" s="229">
        <v>2953</v>
      </c>
      <c r="DA76" s="229">
        <v>11965</v>
      </c>
      <c r="DB76" s="216">
        <v>-9012</v>
      </c>
      <c r="DC76" s="229">
        <v>6396</v>
      </c>
      <c r="DD76" s="229">
        <v>2685</v>
      </c>
      <c r="DE76" s="151"/>
      <c r="DG76" s="229">
        <v>-21</v>
      </c>
      <c r="DH76" s="229">
        <v>8</v>
      </c>
      <c r="DI76" s="229">
        <v>56</v>
      </c>
      <c r="DJ76" s="229">
        <v>1059</v>
      </c>
      <c r="DK76" s="229">
        <v>0</v>
      </c>
      <c r="DL76" s="229">
        <v>0</v>
      </c>
      <c r="DM76" s="229">
        <v>-1003</v>
      </c>
      <c r="DN76" s="131">
        <v>0</v>
      </c>
      <c r="DO76" s="131">
        <v>0</v>
      </c>
      <c r="DP76" s="130">
        <v>0</v>
      </c>
      <c r="DQ76" s="130">
        <v>-1003</v>
      </c>
      <c r="DR76" s="130">
        <v>4776</v>
      </c>
      <c r="DS76" s="130">
        <v>28</v>
      </c>
      <c r="DT76" s="167"/>
      <c r="DU76" s="183">
        <v>-89</v>
      </c>
      <c r="DV76" s="183">
        <v>-1400</v>
      </c>
      <c r="DW76" s="180">
        <v>-571</v>
      </c>
      <c r="DX76" s="130">
        <v>6396</v>
      </c>
      <c r="DY76" s="229">
        <v>4907</v>
      </c>
      <c r="DZ76" s="229">
        <v>814</v>
      </c>
      <c r="EA76" s="229">
        <v>675</v>
      </c>
      <c r="EB76" s="212">
        <v>22</v>
      </c>
      <c r="EC76" s="208"/>
      <c r="ED76" s="183">
        <v>292.76470588235298</v>
      </c>
      <c r="EE76" s="3">
        <v>5642</v>
      </c>
      <c r="EF76" s="183">
        <v>5573</v>
      </c>
      <c r="EG76" s="130">
        <v>5714</v>
      </c>
      <c r="EH76" s="130"/>
      <c r="EI76" s="130"/>
      <c r="EJ76" s="130">
        <v>175</v>
      </c>
      <c r="EK76" s="183">
        <v>-367</v>
      </c>
      <c r="EL76" s="183">
        <v>33</v>
      </c>
      <c r="EM76" s="183">
        <v>768</v>
      </c>
      <c r="EN76" s="226">
        <v>-810</v>
      </c>
      <c r="EO76" s="226">
        <v>5</v>
      </c>
      <c r="EP76" s="226">
        <v>306</v>
      </c>
      <c r="EQ76" s="226">
        <v>-779</v>
      </c>
      <c r="ER76" s="230">
        <v>0</v>
      </c>
      <c r="ES76" s="230">
        <v>180</v>
      </c>
      <c r="ET76" s="3">
        <v>440</v>
      </c>
      <c r="EU76" s="211">
        <v>0</v>
      </c>
      <c r="EV76" s="183">
        <v>-440</v>
      </c>
      <c r="EW76" s="183">
        <v>2482</v>
      </c>
      <c r="EX76" s="130">
        <v>7000</v>
      </c>
      <c r="EY76" s="183">
        <v>-4534</v>
      </c>
      <c r="EZ76" s="3">
        <v>4040</v>
      </c>
      <c r="FA76" s="3">
        <v>1640</v>
      </c>
      <c r="FB76" s="3">
        <v>2400</v>
      </c>
      <c r="FC76" s="3">
        <v>0</v>
      </c>
      <c r="FD76" s="226">
        <v>4882</v>
      </c>
      <c r="FE76" s="183">
        <v>0</v>
      </c>
      <c r="FF76" s="183">
        <v>4882</v>
      </c>
      <c r="FG76" s="183">
        <v>0</v>
      </c>
      <c r="FH76" s="230">
        <v>5948</v>
      </c>
      <c r="FI76" s="130">
        <v>5200</v>
      </c>
      <c r="FJ76" s="130">
        <v>748</v>
      </c>
      <c r="FK76" s="130">
        <v>0</v>
      </c>
      <c r="FL76" s="29">
        <v>4313.7876386687794</v>
      </c>
      <c r="FM76" s="139">
        <v>6292.1348314606748</v>
      </c>
      <c r="FN76" s="139">
        <v>7194.053208137715</v>
      </c>
      <c r="FO76" s="172">
        <f t="shared" si="3"/>
        <v>223.04545454545453</v>
      </c>
      <c r="FP76" s="170">
        <f t="shared" si="4"/>
        <v>174.52695973822733</v>
      </c>
      <c r="FR76" s="175"/>
      <c r="FS76" s="195"/>
      <c r="FV76" s="175">
        <v>0</v>
      </c>
      <c r="FW76" s="2">
        <f t="shared" si="5"/>
        <v>0</v>
      </c>
      <c r="FZ76" s="186"/>
      <c r="GA76" s="2"/>
      <c r="GB76" s="2"/>
    </row>
    <row r="77" spans="1:184" ht="13" x14ac:dyDescent="0.3">
      <c r="A77" s="77">
        <v>232</v>
      </c>
      <c r="B77" s="75" t="s">
        <v>76</v>
      </c>
      <c r="C77" s="179">
        <v>13375</v>
      </c>
      <c r="D77" s="138"/>
      <c r="E77" s="142">
        <v>0.4384309831181728</v>
      </c>
      <c r="F77" s="142">
        <v>58.989403147888424</v>
      </c>
      <c r="G77" s="183">
        <v>-4346.9906542056078</v>
      </c>
      <c r="H77" s="144"/>
      <c r="I77" s="186"/>
      <c r="K77" s="210">
        <v>28.167773346847145</v>
      </c>
      <c r="L77" s="143">
        <v>968.59813084112147</v>
      </c>
      <c r="M77" s="146">
        <v>34.570913663647197</v>
      </c>
      <c r="N77" s="143">
        <v>10226.467289719625</v>
      </c>
      <c r="O77" s="138">
        <v>22251</v>
      </c>
      <c r="P77" s="143">
        <v>45184</v>
      </c>
      <c r="Q77" s="184">
        <v>126858</v>
      </c>
      <c r="R77" s="184">
        <v>-81674</v>
      </c>
      <c r="S77" s="139">
        <v>44520</v>
      </c>
      <c r="T77" s="138">
        <v>38718</v>
      </c>
      <c r="U77" s="151"/>
      <c r="W77" s="183">
        <v>-727</v>
      </c>
      <c r="X77" s="183">
        <v>1075</v>
      </c>
      <c r="Y77" s="184">
        <v>1912</v>
      </c>
      <c r="Z77" s="130">
        <v>4483</v>
      </c>
      <c r="AA77" s="130">
        <v>0</v>
      </c>
      <c r="AB77" s="130">
        <v>0</v>
      </c>
      <c r="AC77" s="184">
        <v>-2571</v>
      </c>
      <c r="AD77" s="184">
        <v>38</v>
      </c>
      <c r="AE77" s="183">
        <v>0</v>
      </c>
      <c r="AF77" s="183">
        <v>0</v>
      </c>
      <c r="AG77" s="183">
        <v>-2533</v>
      </c>
      <c r="AH77" s="183">
        <v>-13200</v>
      </c>
      <c r="AI77" s="183">
        <v>1782</v>
      </c>
      <c r="AJ77" s="167"/>
      <c r="AK77" s="183">
        <v>-625</v>
      </c>
      <c r="AL77" s="183">
        <v>-5305</v>
      </c>
      <c r="AM77" s="180">
        <v>-1018</v>
      </c>
      <c r="AN77" s="139">
        <v>44520</v>
      </c>
      <c r="AO77" s="138">
        <v>37191</v>
      </c>
      <c r="AP77" s="184">
        <v>3479</v>
      </c>
      <c r="AQ77" s="138">
        <v>3850</v>
      </c>
      <c r="AR77" s="109">
        <v>22</v>
      </c>
      <c r="AS77" s="144"/>
      <c r="AT77" s="139">
        <v>202</v>
      </c>
      <c r="AU77" s="228">
        <v>13184</v>
      </c>
      <c r="AV77" s="138"/>
      <c r="AW77" s="224">
        <v>1.1404886886812355</v>
      </c>
      <c r="AX77" s="225">
        <v>61.203300411017729</v>
      </c>
      <c r="AY77" s="139">
        <v>-4033.2220873786409</v>
      </c>
      <c r="AZ77" s="144"/>
      <c r="BA77"/>
      <c r="BC77" s="189">
        <v>30.7804755685111</v>
      </c>
      <c r="BD77" s="183">
        <v>1654.2020631067962</v>
      </c>
      <c r="BE77" s="140">
        <v>56.431508354541656</v>
      </c>
      <c r="BF77" s="139">
        <v>10699.408373786408</v>
      </c>
      <c r="BG77" s="184">
        <v>22386</v>
      </c>
      <c r="BH77" s="216">
        <v>45874</v>
      </c>
      <c r="BI77" s="216">
        <v>128991</v>
      </c>
      <c r="BJ77" s="216">
        <v>-83016</v>
      </c>
      <c r="BK77" s="216">
        <v>44798</v>
      </c>
      <c r="BL77" s="216">
        <v>39736</v>
      </c>
      <c r="BM77" s="151"/>
      <c r="BO77" s="216">
        <v>-690</v>
      </c>
      <c r="BP77" s="216">
        <v>9960</v>
      </c>
      <c r="BQ77" s="216">
        <v>10788</v>
      </c>
      <c r="BR77" s="216">
        <v>4940</v>
      </c>
      <c r="BS77" s="216">
        <v>0</v>
      </c>
      <c r="BT77" s="216">
        <v>0</v>
      </c>
      <c r="BU77" s="216">
        <v>5848</v>
      </c>
      <c r="BV77" s="184">
        <v>37</v>
      </c>
      <c r="BW77" s="183">
        <v>0</v>
      </c>
      <c r="BX77" s="183">
        <v>0</v>
      </c>
      <c r="BY77" s="183">
        <v>5885</v>
      </c>
      <c r="BZ77" s="183">
        <v>-7315</v>
      </c>
      <c r="CA77" s="183">
        <v>10150</v>
      </c>
      <c r="CB77" s="167"/>
      <c r="CC77" s="183">
        <v>-219</v>
      </c>
      <c r="CD77" s="183">
        <v>-5210</v>
      </c>
      <c r="CE77" s="180">
        <v>4726</v>
      </c>
      <c r="CF77" s="139">
        <v>44798</v>
      </c>
      <c r="CG77" s="216">
        <v>37263</v>
      </c>
      <c r="CH77" s="216">
        <v>3936</v>
      </c>
      <c r="CI77" s="216">
        <v>3599</v>
      </c>
      <c r="CJ77" s="212">
        <v>22</v>
      </c>
      <c r="CK77" s="144"/>
      <c r="CL77" s="130">
        <v>9</v>
      </c>
      <c r="CM77" s="228">
        <v>13007</v>
      </c>
      <c r="CN77" s="138"/>
      <c r="CO77" s="142">
        <v>0.94376566416040097</v>
      </c>
      <c r="CP77" s="142">
        <v>59.323595209896041</v>
      </c>
      <c r="CQ77" s="183">
        <v>-4069.1166295071885</v>
      </c>
      <c r="CR77" s="144"/>
      <c r="CS77"/>
      <c r="CU77" s="232">
        <v>30.813978211135964</v>
      </c>
      <c r="CV77" s="143">
        <v>1864.4575997539787</v>
      </c>
      <c r="CW77" s="146">
        <v>61.411122751271357</v>
      </c>
      <c r="CX77" s="143">
        <v>11081.494579841623</v>
      </c>
      <c r="CY77" s="131">
        <v>24214</v>
      </c>
      <c r="CZ77" s="229">
        <v>46338</v>
      </c>
      <c r="DA77" s="229">
        <v>131571</v>
      </c>
      <c r="DB77" s="216">
        <v>-85233</v>
      </c>
      <c r="DC77" s="229">
        <v>46156</v>
      </c>
      <c r="DD77" s="229">
        <v>44372</v>
      </c>
      <c r="DE77" s="151"/>
      <c r="DG77" s="229">
        <v>-618</v>
      </c>
      <c r="DH77" s="229">
        <v>724</v>
      </c>
      <c r="DI77" s="229">
        <v>5401</v>
      </c>
      <c r="DJ77" s="229">
        <v>4754</v>
      </c>
      <c r="DK77" s="229">
        <v>0</v>
      </c>
      <c r="DL77" s="229">
        <v>0</v>
      </c>
      <c r="DM77" s="229">
        <v>647</v>
      </c>
      <c r="DN77" s="131">
        <v>35</v>
      </c>
      <c r="DO77" s="130">
        <v>0</v>
      </c>
      <c r="DP77" s="130">
        <v>0</v>
      </c>
      <c r="DQ77" s="130">
        <v>682</v>
      </c>
      <c r="DR77" s="130">
        <v>-6633</v>
      </c>
      <c r="DS77" s="130">
        <v>5471</v>
      </c>
      <c r="DT77" s="167"/>
      <c r="DU77" s="183">
        <v>866</v>
      </c>
      <c r="DV77" s="183">
        <v>-5760</v>
      </c>
      <c r="DW77" s="180">
        <v>22</v>
      </c>
      <c r="DX77" s="130">
        <v>46156</v>
      </c>
      <c r="DY77" s="229">
        <v>38875</v>
      </c>
      <c r="DZ77" s="229">
        <v>4009</v>
      </c>
      <c r="EA77" s="229">
        <v>3272</v>
      </c>
      <c r="EB77" s="212">
        <v>22</v>
      </c>
      <c r="EC77" s="208"/>
      <c r="ED77" s="183">
        <v>251.463235294117</v>
      </c>
      <c r="EE77" s="3">
        <v>97454</v>
      </c>
      <c r="EF77" s="183">
        <v>99378</v>
      </c>
      <c r="EG77" s="130">
        <v>99990</v>
      </c>
      <c r="EH77" s="130"/>
      <c r="EI77" s="130">
        <v>1000</v>
      </c>
      <c r="EJ77" s="130"/>
      <c r="EK77" s="183">
        <v>-3552</v>
      </c>
      <c r="EL77" s="183">
        <v>-7</v>
      </c>
      <c r="EM77" s="183">
        <v>759</v>
      </c>
      <c r="EN77" s="226">
        <v>-6125</v>
      </c>
      <c r="EO77" s="226">
        <v>0</v>
      </c>
      <c r="EP77" s="226">
        <v>701</v>
      </c>
      <c r="EQ77" s="226">
        <v>-5706</v>
      </c>
      <c r="ER77" s="230">
        <v>0</v>
      </c>
      <c r="ES77" s="230">
        <v>257</v>
      </c>
      <c r="ET77" s="3">
        <v>3500</v>
      </c>
      <c r="EU77" s="211">
        <v>-1000</v>
      </c>
      <c r="EV77" s="183">
        <v>5500</v>
      </c>
      <c r="EW77" s="183">
        <v>2000</v>
      </c>
      <c r="EX77" s="130">
        <v>0</v>
      </c>
      <c r="EY77" s="183">
        <v>6000</v>
      </c>
      <c r="EZ77" s="3">
        <v>62889</v>
      </c>
      <c r="FA77" s="3">
        <v>55679</v>
      </c>
      <c r="FB77" s="3">
        <v>7210</v>
      </c>
      <c r="FC77" s="3">
        <v>1191</v>
      </c>
      <c r="FD77" s="226">
        <v>65179</v>
      </c>
      <c r="FE77" s="183">
        <v>55419</v>
      </c>
      <c r="FF77" s="183">
        <v>9760</v>
      </c>
      <c r="FG77" s="183">
        <v>1034</v>
      </c>
      <c r="FH77" s="230">
        <v>65420</v>
      </c>
      <c r="FI77" s="130">
        <v>49827</v>
      </c>
      <c r="FJ77" s="130">
        <v>15593</v>
      </c>
      <c r="FK77" s="130">
        <v>866</v>
      </c>
      <c r="FL77" s="29">
        <v>6989.0093457943922</v>
      </c>
      <c r="FM77" s="139">
        <v>8225.5006067961167</v>
      </c>
      <c r="FN77" s="139">
        <v>8538.6330437456745</v>
      </c>
      <c r="FO77" s="172">
        <f t="shared" si="3"/>
        <v>1767.0454545454545</v>
      </c>
      <c r="FP77" s="170">
        <f t="shared" si="4"/>
        <v>135.85342158418192</v>
      </c>
      <c r="FR77" s="175"/>
      <c r="FS77" s="195"/>
      <c r="FV77" s="175">
        <v>3128</v>
      </c>
      <c r="FW77" s="2">
        <f t="shared" si="5"/>
        <v>-3128</v>
      </c>
      <c r="FZ77" s="186"/>
      <c r="GA77" s="2"/>
      <c r="GB77" s="2"/>
    </row>
    <row r="78" spans="1:184" ht="13" x14ac:dyDescent="0.3">
      <c r="A78" s="77">
        <v>233</v>
      </c>
      <c r="B78" s="75" t="s">
        <v>77</v>
      </c>
      <c r="C78" s="179">
        <v>16022</v>
      </c>
      <c r="D78" s="138"/>
      <c r="E78" s="142">
        <v>9.201041249499399E-2</v>
      </c>
      <c r="F78" s="142">
        <v>54.933132821311567</v>
      </c>
      <c r="G78" s="183">
        <v>-2416.177755586069</v>
      </c>
      <c r="H78" s="144"/>
      <c r="I78" s="186"/>
      <c r="K78" s="210">
        <v>45.810415651326323</v>
      </c>
      <c r="L78" s="143">
        <v>929.59680439395834</v>
      </c>
      <c r="M78" s="146">
        <v>40.909268777231787</v>
      </c>
      <c r="N78" s="143">
        <v>8294.0332043440267</v>
      </c>
      <c r="O78" s="138">
        <v>31382</v>
      </c>
      <c r="P78" s="143">
        <v>11391</v>
      </c>
      <c r="Q78" s="184">
        <v>111244</v>
      </c>
      <c r="R78" s="184">
        <v>-99853</v>
      </c>
      <c r="S78" s="139">
        <v>52045</v>
      </c>
      <c r="T78" s="138">
        <v>48364</v>
      </c>
      <c r="U78" s="151"/>
      <c r="W78" s="183">
        <v>-283</v>
      </c>
      <c r="X78" s="183">
        <v>282</v>
      </c>
      <c r="Y78" s="184">
        <v>555</v>
      </c>
      <c r="Z78" s="130">
        <v>5984</v>
      </c>
      <c r="AA78" s="131">
        <v>0</v>
      </c>
      <c r="AB78" s="130">
        <v>0</v>
      </c>
      <c r="AC78" s="184">
        <v>-5429</v>
      </c>
      <c r="AD78" s="183">
        <v>571</v>
      </c>
      <c r="AE78" s="183">
        <v>8</v>
      </c>
      <c r="AF78" s="183">
        <v>27</v>
      </c>
      <c r="AG78" s="183">
        <v>-4823</v>
      </c>
      <c r="AH78" s="183">
        <v>9227</v>
      </c>
      <c r="AI78" s="183">
        <v>521</v>
      </c>
      <c r="AJ78" s="167"/>
      <c r="AK78" s="183">
        <v>-483</v>
      </c>
      <c r="AL78" s="183">
        <v>-9624</v>
      </c>
      <c r="AM78" s="180">
        <v>-10826</v>
      </c>
      <c r="AN78" s="139">
        <v>52045</v>
      </c>
      <c r="AO78" s="138">
        <v>44637</v>
      </c>
      <c r="AP78" s="184">
        <v>3319</v>
      </c>
      <c r="AQ78" s="138">
        <v>4089</v>
      </c>
      <c r="AR78" s="109">
        <v>21.75</v>
      </c>
      <c r="AS78" s="144"/>
      <c r="AT78" s="139">
        <v>240</v>
      </c>
      <c r="AU78" s="228">
        <v>15726</v>
      </c>
      <c r="AV78" s="138"/>
      <c r="AW78" s="224">
        <v>-3.753628874068262E-2</v>
      </c>
      <c r="AX78" s="225">
        <v>58.337636874491231</v>
      </c>
      <c r="AY78" s="139">
        <v>-3045.3389291618973</v>
      </c>
      <c r="AZ78" s="144"/>
      <c r="BA78"/>
      <c r="BC78" s="189">
        <v>39.44548560360829</v>
      </c>
      <c r="BD78" s="183">
        <v>1038.344143456696</v>
      </c>
      <c r="BE78" s="140">
        <v>46.098220293755944</v>
      </c>
      <c r="BF78" s="139">
        <v>8221.4803510110651</v>
      </c>
      <c r="BG78" s="184">
        <v>31628</v>
      </c>
      <c r="BH78" s="216">
        <v>11117</v>
      </c>
      <c r="BI78" s="216">
        <v>115048</v>
      </c>
      <c r="BJ78" s="216">
        <v>-103850</v>
      </c>
      <c r="BK78" s="216">
        <v>53598</v>
      </c>
      <c r="BL78" s="216">
        <v>49532</v>
      </c>
      <c r="BM78" s="151"/>
      <c r="BO78" s="216">
        <v>-284</v>
      </c>
      <c r="BP78" s="216">
        <v>365</v>
      </c>
      <c r="BQ78" s="216">
        <v>-639</v>
      </c>
      <c r="BR78" s="216">
        <v>8008</v>
      </c>
      <c r="BS78" s="216">
        <v>0</v>
      </c>
      <c r="BT78" s="216">
        <v>0</v>
      </c>
      <c r="BU78" s="216">
        <v>-8647</v>
      </c>
      <c r="BV78" s="183">
        <v>1738</v>
      </c>
      <c r="BW78" s="183">
        <v>0</v>
      </c>
      <c r="BX78" s="183">
        <v>75</v>
      </c>
      <c r="BY78" s="183">
        <v>-6834</v>
      </c>
      <c r="BZ78" s="183">
        <v>2393</v>
      </c>
      <c r="CA78" s="183">
        <v>-505</v>
      </c>
      <c r="CB78" s="167"/>
      <c r="CC78" s="183">
        <v>5333</v>
      </c>
      <c r="CD78" s="183">
        <v>-4611</v>
      </c>
      <c r="CE78" s="180">
        <v>-9329</v>
      </c>
      <c r="CF78" s="139">
        <v>53598</v>
      </c>
      <c r="CG78" s="216">
        <v>46472</v>
      </c>
      <c r="CH78" s="216">
        <v>3262</v>
      </c>
      <c r="CI78" s="216">
        <v>3864</v>
      </c>
      <c r="CJ78" s="212">
        <v>21.75</v>
      </c>
      <c r="CK78" s="144"/>
      <c r="CL78" s="130">
        <v>243</v>
      </c>
      <c r="CM78" s="228">
        <v>15514</v>
      </c>
      <c r="CN78" s="138"/>
      <c r="CO78" s="142">
        <v>1.8742536002809975</v>
      </c>
      <c r="CP78" s="142">
        <v>58.549231326332425</v>
      </c>
      <c r="CQ78" s="183">
        <v>-3168.0417687250224</v>
      </c>
      <c r="CR78" s="144"/>
      <c r="CS78"/>
      <c r="CU78" s="232">
        <v>40.037092173218788</v>
      </c>
      <c r="CV78" s="143">
        <v>1153.7321129302566</v>
      </c>
      <c r="CW78" s="146">
        <v>50.504688575028794</v>
      </c>
      <c r="CX78" s="143">
        <v>8338.0817326285942</v>
      </c>
      <c r="CY78" s="131">
        <v>29936</v>
      </c>
      <c r="CZ78" s="229">
        <v>9950</v>
      </c>
      <c r="DA78" s="229">
        <v>111339</v>
      </c>
      <c r="DB78" s="216">
        <v>-101389</v>
      </c>
      <c r="DC78" s="229">
        <v>54372</v>
      </c>
      <c r="DD78" s="229">
        <v>57283</v>
      </c>
      <c r="DE78" s="151"/>
      <c r="DG78" s="229">
        <v>-232</v>
      </c>
      <c r="DH78" s="229">
        <v>349</v>
      </c>
      <c r="DI78" s="229">
        <v>10383</v>
      </c>
      <c r="DJ78" s="229">
        <v>6231</v>
      </c>
      <c r="DK78" s="229">
        <v>0</v>
      </c>
      <c r="DL78" s="229">
        <v>0</v>
      </c>
      <c r="DM78" s="229">
        <v>4152</v>
      </c>
      <c r="DN78" s="130">
        <v>194</v>
      </c>
      <c r="DO78" s="130">
        <v>0</v>
      </c>
      <c r="DP78" s="130">
        <v>70</v>
      </c>
      <c r="DQ78" s="130">
        <v>4416</v>
      </c>
      <c r="DR78" s="130">
        <v>6808</v>
      </c>
      <c r="DS78" s="130">
        <v>10379</v>
      </c>
      <c r="DT78" s="167"/>
      <c r="DU78" s="183">
        <v>-1703</v>
      </c>
      <c r="DV78" s="183">
        <v>-5405</v>
      </c>
      <c r="DW78" s="180">
        <v>-1713</v>
      </c>
      <c r="DX78" s="130">
        <v>54372</v>
      </c>
      <c r="DY78" s="229">
        <v>47212</v>
      </c>
      <c r="DZ78" s="229">
        <v>3490</v>
      </c>
      <c r="EA78" s="229">
        <v>3670</v>
      </c>
      <c r="EB78" s="212">
        <v>21.75</v>
      </c>
      <c r="EC78" s="208"/>
      <c r="ED78" s="183">
        <v>149.720588235294</v>
      </c>
      <c r="EE78" s="3">
        <v>73044</v>
      </c>
      <c r="EF78" s="183">
        <v>76187</v>
      </c>
      <c r="EG78" s="130">
        <v>74644</v>
      </c>
      <c r="EH78" s="130"/>
      <c r="EI78" s="130"/>
      <c r="EJ78" s="130">
        <v>1800</v>
      </c>
      <c r="EK78" s="183">
        <v>-11692</v>
      </c>
      <c r="EL78" s="183">
        <v>291</v>
      </c>
      <c r="EM78" s="183">
        <v>54</v>
      </c>
      <c r="EN78" s="226">
        <v>-9350</v>
      </c>
      <c r="EO78" s="226">
        <v>393</v>
      </c>
      <c r="EP78" s="226">
        <v>133</v>
      </c>
      <c r="EQ78" s="226">
        <v>-12385</v>
      </c>
      <c r="ER78" s="230">
        <v>183</v>
      </c>
      <c r="ES78" s="230">
        <v>110</v>
      </c>
      <c r="ET78" s="3">
        <v>10389</v>
      </c>
      <c r="EU78" s="211">
        <v>4709</v>
      </c>
      <c r="EV78" s="183">
        <v>15000</v>
      </c>
      <c r="EW78" s="183">
        <v>-5053</v>
      </c>
      <c r="EX78" s="130">
        <v>12000</v>
      </c>
      <c r="EY78" s="183">
        <v>3563</v>
      </c>
      <c r="EZ78" s="3">
        <v>48127</v>
      </c>
      <c r="FA78" s="3">
        <v>38502</v>
      </c>
      <c r="FB78" s="3">
        <v>9625</v>
      </c>
      <c r="FC78" s="3">
        <v>2758</v>
      </c>
      <c r="FD78" s="226">
        <v>53463</v>
      </c>
      <c r="FE78" s="183">
        <v>48890</v>
      </c>
      <c r="FF78" s="183">
        <v>4573</v>
      </c>
      <c r="FG78" s="183">
        <v>2730</v>
      </c>
      <c r="FH78" s="230">
        <v>63621</v>
      </c>
      <c r="FI78" s="130">
        <v>55486</v>
      </c>
      <c r="FJ78" s="130">
        <v>8135</v>
      </c>
      <c r="FK78" s="130">
        <v>2264</v>
      </c>
      <c r="FL78" s="29">
        <v>7588.6281363125699</v>
      </c>
      <c r="FM78" s="139">
        <v>8454.9154266819278</v>
      </c>
      <c r="FN78" s="139">
        <v>9254.6087404924583</v>
      </c>
      <c r="FO78" s="172">
        <f t="shared" si="3"/>
        <v>2170.6666666666665</v>
      </c>
      <c r="FP78" s="170">
        <f t="shared" si="4"/>
        <v>139.91663443771216</v>
      </c>
      <c r="FR78" s="175"/>
      <c r="FS78" s="195"/>
      <c r="FV78" s="175">
        <v>4056</v>
      </c>
      <c r="FW78" s="2">
        <f t="shared" si="5"/>
        <v>-4056</v>
      </c>
      <c r="FZ78" s="186"/>
      <c r="GA78" s="2"/>
      <c r="GB78" s="2"/>
    </row>
    <row r="79" spans="1:184" ht="13" x14ac:dyDescent="0.3">
      <c r="A79" s="77">
        <v>235</v>
      </c>
      <c r="B79" s="75" t="s">
        <v>78</v>
      </c>
      <c r="C79" s="179">
        <v>9615</v>
      </c>
      <c r="D79" s="138"/>
      <c r="E79" s="142" t="e">
        <v>#DIV/0!</v>
      </c>
      <c r="F79" s="142">
        <v>13.399846133180281</v>
      </c>
      <c r="G79" s="183">
        <v>101.09204368174727</v>
      </c>
      <c r="H79" s="144"/>
      <c r="I79" s="186"/>
      <c r="K79" s="210">
        <v>90.567879852957404</v>
      </c>
      <c r="L79" s="143">
        <v>914.30057202288094</v>
      </c>
      <c r="M79" s="146">
        <v>39.034512542273916</v>
      </c>
      <c r="N79" s="143">
        <v>8549.3499739989584</v>
      </c>
      <c r="O79" s="138">
        <v>32807</v>
      </c>
      <c r="P79" s="143">
        <v>15024</v>
      </c>
      <c r="Q79" s="184">
        <v>71769</v>
      </c>
      <c r="R79" s="184">
        <v>-56745</v>
      </c>
      <c r="S79" s="139">
        <v>69149</v>
      </c>
      <c r="T79" s="138">
        <v>-2284</v>
      </c>
      <c r="U79" s="151"/>
      <c r="W79" s="183">
        <v>238</v>
      </c>
      <c r="X79" s="183">
        <v>115</v>
      </c>
      <c r="Y79" s="184">
        <v>10473</v>
      </c>
      <c r="Z79" s="130">
        <v>7245</v>
      </c>
      <c r="AA79" s="130">
        <v>0</v>
      </c>
      <c r="AB79" s="130">
        <v>0</v>
      </c>
      <c r="AC79" s="184">
        <v>3228</v>
      </c>
      <c r="AD79" s="183">
        <v>0</v>
      </c>
      <c r="AE79" s="183">
        <v>0</v>
      </c>
      <c r="AF79" s="183">
        <v>0</v>
      </c>
      <c r="AG79" s="183">
        <v>3228</v>
      </c>
      <c r="AH79" s="183">
        <v>54204</v>
      </c>
      <c r="AI79" s="183">
        <v>8774</v>
      </c>
      <c r="AJ79" s="167"/>
      <c r="AK79" s="183">
        <v>-31</v>
      </c>
      <c r="AL79" s="183">
        <v>0</v>
      </c>
      <c r="AM79" s="180">
        <v>50</v>
      </c>
      <c r="AN79" s="139">
        <v>69149</v>
      </c>
      <c r="AO79" s="138">
        <v>62301</v>
      </c>
      <c r="AP79" s="184">
        <v>1997</v>
      </c>
      <c r="AQ79" s="138">
        <v>4851</v>
      </c>
      <c r="AR79" s="109">
        <v>17</v>
      </c>
      <c r="AS79" s="144"/>
      <c r="AT79" s="139">
        <v>2</v>
      </c>
      <c r="AU79" s="228">
        <v>9797</v>
      </c>
      <c r="AV79" s="138"/>
      <c r="AW79" s="224">
        <v>6.0247032018227609</v>
      </c>
      <c r="AX79" s="225">
        <v>17.922430830039527</v>
      </c>
      <c r="AY79" s="139">
        <v>-411.86077370623661</v>
      </c>
      <c r="AZ79" s="144"/>
      <c r="BA79"/>
      <c r="BC79" s="189">
        <v>87.781023116081116</v>
      </c>
      <c r="BD79" s="183">
        <v>682.76002858017762</v>
      </c>
      <c r="BE79" s="140">
        <v>28.219387873043761</v>
      </c>
      <c r="BF79" s="139">
        <v>8831.0707359395728</v>
      </c>
      <c r="BG79" s="184">
        <v>35950</v>
      </c>
      <c r="BH79" s="216">
        <v>15831</v>
      </c>
      <c r="BI79" s="216">
        <v>75027</v>
      </c>
      <c r="BJ79" s="216">
        <v>-59196</v>
      </c>
      <c r="BK79" s="216">
        <v>66993</v>
      </c>
      <c r="BL79" s="216">
        <v>-1864</v>
      </c>
      <c r="BM79" s="151"/>
      <c r="BO79" s="216">
        <v>232</v>
      </c>
      <c r="BP79" s="216">
        <v>114</v>
      </c>
      <c r="BQ79" s="216">
        <v>6279</v>
      </c>
      <c r="BR79" s="216">
        <v>7799</v>
      </c>
      <c r="BS79" s="216">
        <v>0</v>
      </c>
      <c r="BT79" s="216">
        <v>0</v>
      </c>
      <c r="BU79" s="216">
        <v>-1520</v>
      </c>
      <c r="BV79" s="183">
        <v>0</v>
      </c>
      <c r="BW79" s="183">
        <v>0</v>
      </c>
      <c r="BX79" s="183">
        <v>0</v>
      </c>
      <c r="BY79" s="183">
        <v>-1520</v>
      </c>
      <c r="BZ79" s="183">
        <v>52713</v>
      </c>
      <c r="CA79" s="183">
        <v>3653</v>
      </c>
      <c r="CB79" s="167"/>
      <c r="CC79" s="183">
        <v>0</v>
      </c>
      <c r="CD79" s="183">
        <v>0</v>
      </c>
      <c r="CE79" s="180">
        <v>-5099</v>
      </c>
      <c r="CF79" s="139">
        <v>66993</v>
      </c>
      <c r="CG79" s="216">
        <v>61069</v>
      </c>
      <c r="CH79" s="216">
        <v>1172</v>
      </c>
      <c r="CI79" s="216">
        <v>4752</v>
      </c>
      <c r="CJ79" s="212">
        <v>17</v>
      </c>
      <c r="CK79" s="144"/>
      <c r="CL79" s="130">
        <v>13</v>
      </c>
      <c r="CM79" s="228">
        <v>10178</v>
      </c>
      <c r="CN79" s="138"/>
      <c r="CO79" s="142">
        <v>1153.1111111111111</v>
      </c>
      <c r="CP79" s="142">
        <v>17.813238365921311</v>
      </c>
      <c r="CQ79" s="183">
        <v>66.909019453723715</v>
      </c>
      <c r="CR79" s="144"/>
      <c r="CS79"/>
      <c r="CU79" s="232">
        <v>87.166831194471868</v>
      </c>
      <c r="CV79" s="143">
        <v>1307.8207899390843</v>
      </c>
      <c r="CW79" s="146">
        <v>58.282130946954247</v>
      </c>
      <c r="CX79" s="143">
        <v>8190.4106897229321</v>
      </c>
      <c r="CY79" s="131">
        <v>37228</v>
      </c>
      <c r="CZ79" s="229">
        <v>14069</v>
      </c>
      <c r="DA79" s="229">
        <v>77506</v>
      </c>
      <c r="DB79" s="216">
        <v>-63437</v>
      </c>
      <c r="DC79" s="229">
        <v>69215</v>
      </c>
      <c r="DD79" s="229">
        <v>4325</v>
      </c>
      <c r="DE79" s="151"/>
      <c r="DG79" s="229">
        <v>225</v>
      </c>
      <c r="DH79" s="229">
        <v>41</v>
      </c>
      <c r="DI79" s="229">
        <v>10369</v>
      </c>
      <c r="DJ79" s="229">
        <v>8716</v>
      </c>
      <c r="DK79" s="229">
        <v>0</v>
      </c>
      <c r="DL79" s="229">
        <v>0</v>
      </c>
      <c r="DM79" s="229">
        <v>1653</v>
      </c>
      <c r="DN79" s="130">
        <v>0</v>
      </c>
      <c r="DO79" s="130">
        <v>0</v>
      </c>
      <c r="DP79" s="130">
        <v>0</v>
      </c>
      <c r="DQ79" s="130">
        <v>1653</v>
      </c>
      <c r="DR79" s="130">
        <v>54368</v>
      </c>
      <c r="DS79" s="130">
        <v>8922</v>
      </c>
      <c r="DT79" s="167"/>
      <c r="DU79" s="183">
        <v>817</v>
      </c>
      <c r="DV79" s="183">
        <v>0</v>
      </c>
      <c r="DW79" s="180">
        <v>4637</v>
      </c>
      <c r="DX79" s="130">
        <v>69215</v>
      </c>
      <c r="DY79" s="229">
        <v>63838</v>
      </c>
      <c r="DZ79" s="229">
        <v>1060</v>
      </c>
      <c r="EA79" s="229">
        <v>4317</v>
      </c>
      <c r="EB79" s="212">
        <v>17</v>
      </c>
      <c r="EC79" s="208"/>
      <c r="ED79" s="183">
        <v>32.8676470588236</v>
      </c>
      <c r="EE79" s="3">
        <v>30019</v>
      </c>
      <c r="EF79" s="183">
        <v>29384</v>
      </c>
      <c r="EG79" s="130">
        <v>29935</v>
      </c>
      <c r="EH79" s="130"/>
      <c r="EI79" s="130"/>
      <c r="EJ79" s="130"/>
      <c r="EK79" s="183">
        <v>-10400</v>
      </c>
      <c r="EL79" s="183">
        <v>0</v>
      </c>
      <c r="EM79" s="183">
        <v>1676</v>
      </c>
      <c r="EN79" s="226">
        <v>-11480</v>
      </c>
      <c r="EO79" s="226">
        <v>0</v>
      </c>
      <c r="EP79" s="226">
        <v>2728</v>
      </c>
      <c r="EQ79" s="226">
        <v>-5822</v>
      </c>
      <c r="ER79" s="230">
        <v>0</v>
      </c>
      <c r="ES79" s="230">
        <v>1537</v>
      </c>
      <c r="ET79" s="3">
        <v>0</v>
      </c>
      <c r="EU79" s="211">
        <v>-2000</v>
      </c>
      <c r="EV79" s="183">
        <v>0</v>
      </c>
      <c r="EW79" s="183">
        <v>2000</v>
      </c>
      <c r="EX79" s="130">
        <v>0</v>
      </c>
      <c r="EY79" s="183">
        <v>2000</v>
      </c>
      <c r="EZ79" s="3">
        <v>0</v>
      </c>
      <c r="FA79" s="3">
        <v>0</v>
      </c>
      <c r="FB79" s="3">
        <v>0</v>
      </c>
      <c r="FC79" s="3">
        <v>5199</v>
      </c>
      <c r="FD79" s="226">
        <v>2000</v>
      </c>
      <c r="FE79" s="183">
        <v>0</v>
      </c>
      <c r="FF79" s="183">
        <v>2000</v>
      </c>
      <c r="FG79" s="183">
        <v>5131</v>
      </c>
      <c r="FH79" s="230">
        <v>4000</v>
      </c>
      <c r="FI79" s="130">
        <v>0</v>
      </c>
      <c r="FJ79" s="130">
        <v>4000</v>
      </c>
      <c r="FK79" s="130">
        <v>5064</v>
      </c>
      <c r="FL79" s="29">
        <v>2024.9609984399374</v>
      </c>
      <c r="FM79" s="139">
        <v>2315.0964580994182</v>
      </c>
      <c r="FN79" s="139">
        <v>2565.8282570249557</v>
      </c>
      <c r="FO79" s="172">
        <f t="shared" si="3"/>
        <v>3755.1764705882351</v>
      </c>
      <c r="FP79" s="170">
        <f t="shared" si="4"/>
        <v>368.95033116410247</v>
      </c>
      <c r="FR79" s="175"/>
      <c r="FS79" s="195"/>
      <c r="FV79" s="175">
        <v>0</v>
      </c>
      <c r="FW79" s="2">
        <f t="shared" si="5"/>
        <v>0</v>
      </c>
      <c r="FZ79" s="186"/>
      <c r="GA79" s="2"/>
      <c r="GB79" s="2"/>
    </row>
    <row r="80" spans="1:184" ht="13" x14ac:dyDescent="0.3">
      <c r="A80" s="77">
        <v>236</v>
      </c>
      <c r="B80" s="75" t="s">
        <v>79</v>
      </c>
      <c r="C80" s="179">
        <v>4273</v>
      </c>
      <c r="D80" s="138"/>
      <c r="E80" s="142">
        <v>0.47979426891991184</v>
      </c>
      <c r="F80" s="142">
        <v>100.72683779556537</v>
      </c>
      <c r="G80" s="183">
        <v>-7121.2263047039551</v>
      </c>
      <c r="H80" s="144"/>
      <c r="I80" s="186"/>
      <c r="K80" s="210">
        <v>21.655283246283648</v>
      </c>
      <c r="L80" s="143">
        <v>219.28387549730868</v>
      </c>
      <c r="M80" s="146">
        <v>9.4439995581819183</v>
      </c>
      <c r="N80" s="143">
        <v>8475.0760589749589</v>
      </c>
      <c r="O80" s="138">
        <v>10734</v>
      </c>
      <c r="P80" s="143">
        <v>7557</v>
      </c>
      <c r="Q80" s="184">
        <v>31346</v>
      </c>
      <c r="R80" s="184">
        <v>-23789</v>
      </c>
      <c r="S80" s="139">
        <v>14168</v>
      </c>
      <c r="T80" s="138">
        <v>10882</v>
      </c>
      <c r="U80" s="151"/>
      <c r="W80" s="183">
        <v>-241</v>
      </c>
      <c r="X80" s="183">
        <v>34</v>
      </c>
      <c r="Y80" s="184">
        <v>1054</v>
      </c>
      <c r="Z80" s="130">
        <v>1366</v>
      </c>
      <c r="AA80" s="130">
        <v>0</v>
      </c>
      <c r="AB80" s="130">
        <v>0</v>
      </c>
      <c r="AC80" s="184">
        <v>-312</v>
      </c>
      <c r="AD80" s="183">
        <v>0</v>
      </c>
      <c r="AE80" s="183">
        <v>0</v>
      </c>
      <c r="AF80" s="183">
        <v>0</v>
      </c>
      <c r="AG80" s="183">
        <v>-312</v>
      </c>
      <c r="AH80" s="183">
        <v>-522</v>
      </c>
      <c r="AI80" s="183">
        <v>204</v>
      </c>
      <c r="AJ80" s="167"/>
      <c r="AK80" s="183">
        <v>294</v>
      </c>
      <c r="AL80" s="183">
        <v>-2470</v>
      </c>
      <c r="AM80" s="180">
        <v>-741</v>
      </c>
      <c r="AN80" s="139">
        <v>14168</v>
      </c>
      <c r="AO80" s="138">
        <v>12180</v>
      </c>
      <c r="AP80" s="184">
        <v>1031</v>
      </c>
      <c r="AQ80" s="138">
        <v>957</v>
      </c>
      <c r="AR80" s="109">
        <v>21.5</v>
      </c>
      <c r="AS80" s="144"/>
      <c r="AT80" s="139">
        <v>141</v>
      </c>
      <c r="AU80" s="228">
        <v>4261</v>
      </c>
      <c r="AV80" s="138"/>
      <c r="AW80" s="224">
        <v>-1.4136466503394613E-2</v>
      </c>
      <c r="AX80" s="225">
        <v>106.33710801393728</v>
      </c>
      <c r="AY80" s="139">
        <v>-7533.2081670969255</v>
      </c>
      <c r="AZ80" s="144"/>
      <c r="BA80"/>
      <c r="BC80" s="189">
        <v>17.712238805970149</v>
      </c>
      <c r="BD80" s="183">
        <v>228.58483923961512</v>
      </c>
      <c r="BE80" s="140">
        <v>9.7732021112821634</v>
      </c>
      <c r="BF80" s="139">
        <v>8536.9631541891576</v>
      </c>
      <c r="BG80" s="184">
        <v>10945</v>
      </c>
      <c r="BH80" s="216">
        <v>7230</v>
      </c>
      <c r="BI80" s="216">
        <v>32251</v>
      </c>
      <c r="BJ80" s="216">
        <v>-25021</v>
      </c>
      <c r="BK80" s="216">
        <v>13851</v>
      </c>
      <c r="BL80" s="216">
        <v>11063</v>
      </c>
      <c r="BM80" s="151"/>
      <c r="BO80" s="216">
        <v>-220</v>
      </c>
      <c r="BP80" s="216">
        <v>38</v>
      </c>
      <c r="BQ80" s="216">
        <v>-289</v>
      </c>
      <c r="BR80" s="216">
        <v>1456</v>
      </c>
      <c r="BS80" s="216">
        <v>0</v>
      </c>
      <c r="BT80" s="216">
        <v>0</v>
      </c>
      <c r="BU80" s="216">
        <v>-1745</v>
      </c>
      <c r="BV80" s="183">
        <v>0</v>
      </c>
      <c r="BW80" s="183">
        <v>0</v>
      </c>
      <c r="BX80" s="183">
        <v>0</v>
      </c>
      <c r="BY80" s="183">
        <v>-1745</v>
      </c>
      <c r="BZ80" s="183">
        <v>-2268</v>
      </c>
      <c r="CA80" s="183">
        <v>-546</v>
      </c>
      <c r="CB80" s="167"/>
      <c r="CC80" s="183">
        <v>369</v>
      </c>
      <c r="CD80" s="183">
        <v>-2455</v>
      </c>
      <c r="CE80" s="180">
        <v>-1582</v>
      </c>
      <c r="CF80" s="139">
        <v>13851</v>
      </c>
      <c r="CG80" s="216">
        <v>12079</v>
      </c>
      <c r="CH80" s="216">
        <v>810</v>
      </c>
      <c r="CI80" s="216">
        <v>962</v>
      </c>
      <c r="CJ80" s="212">
        <v>21.5</v>
      </c>
      <c r="CK80" s="144"/>
      <c r="CL80" s="130">
        <v>252</v>
      </c>
      <c r="CM80" s="228">
        <v>4228</v>
      </c>
      <c r="CN80" s="138"/>
      <c r="CO80" s="142">
        <v>1.3251695553880933</v>
      </c>
      <c r="CP80" s="142">
        <v>98.398571469062674</v>
      </c>
      <c r="CQ80" s="183">
        <v>-7217.3604541154209</v>
      </c>
      <c r="CR80" s="144"/>
      <c r="CS80"/>
      <c r="CU80" s="232">
        <v>20.741714648410934</v>
      </c>
      <c r="CV80" s="143">
        <v>709.08230842005673</v>
      </c>
      <c r="CW80" s="146">
        <v>30.099573648741575</v>
      </c>
      <c r="CX80" s="143">
        <v>8598.6281929990546</v>
      </c>
      <c r="CY80" s="131">
        <v>10448</v>
      </c>
      <c r="CZ80" s="229">
        <v>6548</v>
      </c>
      <c r="DA80" s="229">
        <v>31826</v>
      </c>
      <c r="DB80" s="216">
        <v>-25278</v>
      </c>
      <c r="DC80" s="229">
        <v>14546</v>
      </c>
      <c r="DD80" s="229">
        <v>14187</v>
      </c>
      <c r="DE80" s="151"/>
      <c r="DG80" s="229">
        <v>-188</v>
      </c>
      <c r="DH80" s="229">
        <v>51</v>
      </c>
      <c r="DI80" s="229">
        <v>3318</v>
      </c>
      <c r="DJ80" s="229">
        <v>1585</v>
      </c>
      <c r="DK80" s="229">
        <v>0</v>
      </c>
      <c r="DL80" s="229">
        <v>0</v>
      </c>
      <c r="DM80" s="229">
        <v>1733</v>
      </c>
      <c r="DN80" s="130">
        <v>0</v>
      </c>
      <c r="DO80" s="130">
        <v>0</v>
      </c>
      <c r="DP80" s="130">
        <v>0</v>
      </c>
      <c r="DQ80" s="130">
        <v>1733</v>
      </c>
      <c r="DR80" s="130">
        <v>-535</v>
      </c>
      <c r="DS80" s="130">
        <v>3385</v>
      </c>
      <c r="DT80" s="167"/>
      <c r="DU80" s="183">
        <v>-96</v>
      </c>
      <c r="DV80" s="183">
        <v>-2455</v>
      </c>
      <c r="DW80" s="180">
        <v>1537</v>
      </c>
      <c r="DX80" s="130">
        <v>14546</v>
      </c>
      <c r="DY80" s="229">
        <v>12879</v>
      </c>
      <c r="DZ80" s="229">
        <v>796</v>
      </c>
      <c r="EA80" s="229">
        <v>871</v>
      </c>
      <c r="EB80" s="212">
        <v>22</v>
      </c>
      <c r="EC80" s="208"/>
      <c r="ED80" s="183">
        <v>94.316176470588303</v>
      </c>
      <c r="EE80" s="3">
        <v>18023</v>
      </c>
      <c r="EF80" s="183">
        <v>18678</v>
      </c>
      <c r="EG80" s="130">
        <v>18685</v>
      </c>
      <c r="EH80" s="130"/>
      <c r="EI80" s="130"/>
      <c r="EJ80" s="130">
        <v>590</v>
      </c>
      <c r="EK80" s="183">
        <v>-2144</v>
      </c>
      <c r="EL80" s="183">
        <v>0</v>
      </c>
      <c r="EM80" s="183">
        <v>1199</v>
      </c>
      <c r="EN80" s="226">
        <v>-1437</v>
      </c>
      <c r="EO80" s="226">
        <v>15</v>
      </c>
      <c r="EP80" s="226">
        <v>386</v>
      </c>
      <c r="EQ80" s="226">
        <v>-1874</v>
      </c>
      <c r="ER80" s="230">
        <v>0</v>
      </c>
      <c r="ES80" s="230">
        <v>26</v>
      </c>
      <c r="ET80" s="3">
        <v>3017</v>
      </c>
      <c r="EU80" s="211">
        <v>300</v>
      </c>
      <c r="EV80" s="183">
        <v>0</v>
      </c>
      <c r="EW80" s="183">
        <v>3000</v>
      </c>
      <c r="EX80" s="130">
        <v>2000</v>
      </c>
      <c r="EY80" s="183">
        <v>-6000</v>
      </c>
      <c r="EZ80" s="3">
        <v>28835</v>
      </c>
      <c r="FA80" s="3">
        <v>22379</v>
      </c>
      <c r="FB80" s="3">
        <v>6456</v>
      </c>
      <c r="FC80" s="3">
        <v>0</v>
      </c>
      <c r="FD80" s="226">
        <v>29379</v>
      </c>
      <c r="FE80" s="183">
        <v>19923</v>
      </c>
      <c r="FF80" s="183">
        <v>9456</v>
      </c>
      <c r="FG80" s="183">
        <v>0</v>
      </c>
      <c r="FH80" s="230">
        <v>30924</v>
      </c>
      <c r="FI80" s="130">
        <v>28468</v>
      </c>
      <c r="FJ80" s="130">
        <v>2456</v>
      </c>
      <c r="FK80" s="130">
        <v>0</v>
      </c>
      <c r="FL80" s="29">
        <v>11615.258600514861</v>
      </c>
      <c r="FM80" s="139">
        <v>11926.30837831495</v>
      </c>
      <c r="FN80" s="139">
        <v>12264.427625354778</v>
      </c>
      <c r="FO80" s="172">
        <f t="shared" si="3"/>
        <v>585.40909090909088</v>
      </c>
      <c r="FP80" s="170">
        <f t="shared" si="4"/>
        <v>138.46004988389095</v>
      </c>
      <c r="FR80" s="175"/>
      <c r="FS80" s="195"/>
      <c r="FV80" s="175">
        <v>1503</v>
      </c>
      <c r="FW80" s="2">
        <f t="shared" si="5"/>
        <v>-1503</v>
      </c>
      <c r="FZ80" s="186"/>
      <c r="GA80" s="2"/>
      <c r="GB80" s="2"/>
    </row>
    <row r="81" spans="1:184" ht="13" x14ac:dyDescent="0.3">
      <c r="A81" s="77">
        <v>239</v>
      </c>
      <c r="B81" s="75" t="s">
        <v>80</v>
      </c>
      <c r="C81" s="179">
        <v>2244</v>
      </c>
      <c r="D81" s="138"/>
      <c r="E81" s="142">
        <v>0.15317919075144509</v>
      </c>
      <c r="F81" s="142">
        <v>54.933928264973403</v>
      </c>
      <c r="G81" s="183">
        <v>-3389.9286987522282</v>
      </c>
      <c r="H81" s="144"/>
      <c r="I81" s="186"/>
      <c r="K81" s="210">
        <v>41.989269024404315</v>
      </c>
      <c r="L81" s="143">
        <v>286.98752228163994</v>
      </c>
      <c r="M81" s="146">
        <v>12.424546751942492</v>
      </c>
      <c r="N81" s="143">
        <v>8430.9269162210348</v>
      </c>
      <c r="O81" s="138">
        <v>6136</v>
      </c>
      <c r="P81" s="143">
        <v>3153</v>
      </c>
      <c r="Q81" s="184">
        <v>17684</v>
      </c>
      <c r="R81" s="184">
        <v>-14531</v>
      </c>
      <c r="S81" s="139">
        <v>6873</v>
      </c>
      <c r="T81" s="138">
        <v>7455</v>
      </c>
      <c r="U81" s="151"/>
      <c r="W81" s="183">
        <v>-11</v>
      </c>
      <c r="X81" s="183">
        <v>256</v>
      </c>
      <c r="Y81" s="184">
        <v>42</v>
      </c>
      <c r="Z81" s="130">
        <v>553</v>
      </c>
      <c r="AA81" s="131">
        <v>0</v>
      </c>
      <c r="AB81" s="131">
        <v>0</v>
      </c>
      <c r="AC81" s="184">
        <v>-511</v>
      </c>
      <c r="AD81" s="183">
        <v>0</v>
      </c>
      <c r="AE81" s="183">
        <v>0</v>
      </c>
      <c r="AF81" s="183">
        <v>0</v>
      </c>
      <c r="AG81" s="183">
        <v>-511</v>
      </c>
      <c r="AH81" s="183">
        <v>-1095</v>
      </c>
      <c r="AI81" s="183">
        <v>15</v>
      </c>
      <c r="AJ81" s="167"/>
      <c r="AK81" s="183">
        <v>5</v>
      </c>
      <c r="AL81" s="183">
        <v>-335</v>
      </c>
      <c r="AM81" s="180">
        <v>-839</v>
      </c>
      <c r="AN81" s="139">
        <v>6873</v>
      </c>
      <c r="AO81" s="138">
        <v>5713</v>
      </c>
      <c r="AP81" s="184">
        <v>618</v>
      </c>
      <c r="AQ81" s="138">
        <v>542</v>
      </c>
      <c r="AR81" s="109">
        <v>20.5</v>
      </c>
      <c r="AS81" s="144"/>
      <c r="AT81" s="139">
        <v>247</v>
      </c>
      <c r="AU81" s="228">
        <v>2202</v>
      </c>
      <c r="AV81" s="138"/>
      <c r="AW81" s="224">
        <v>1.1363741606853439</v>
      </c>
      <c r="AX81" s="225">
        <v>52.430291852012587</v>
      </c>
      <c r="AY81" s="139">
        <v>-3271.5712988192554</v>
      </c>
      <c r="AZ81" s="144"/>
      <c r="BA81"/>
      <c r="BC81" s="189">
        <v>43.233271843032028</v>
      </c>
      <c r="BD81" s="183">
        <v>455.94913714804727</v>
      </c>
      <c r="BE81" s="140">
        <v>20.139591118927235</v>
      </c>
      <c r="BF81" s="139">
        <v>8263.396911898275</v>
      </c>
      <c r="BG81" s="184">
        <v>6263</v>
      </c>
      <c r="BH81" s="216">
        <v>3131</v>
      </c>
      <c r="BI81" s="216">
        <v>17377</v>
      </c>
      <c r="BJ81" s="216">
        <v>-14246</v>
      </c>
      <c r="BK81" s="216">
        <v>7134</v>
      </c>
      <c r="BL81" s="216">
        <v>8169</v>
      </c>
      <c r="BM81" s="151"/>
      <c r="BO81" s="216">
        <v>-16</v>
      </c>
      <c r="BP81" s="216">
        <v>170</v>
      </c>
      <c r="BQ81" s="216">
        <v>1211</v>
      </c>
      <c r="BR81" s="216">
        <v>574</v>
      </c>
      <c r="BS81" s="216">
        <v>0</v>
      </c>
      <c r="BT81" s="216">
        <v>181</v>
      </c>
      <c r="BU81" s="216">
        <v>456</v>
      </c>
      <c r="BV81" s="183">
        <v>0</v>
      </c>
      <c r="BW81" s="183">
        <v>0</v>
      </c>
      <c r="BX81" s="183">
        <v>0</v>
      </c>
      <c r="BY81" s="183">
        <v>456</v>
      </c>
      <c r="BZ81" s="183">
        <v>-639</v>
      </c>
      <c r="CA81" s="183">
        <v>1126</v>
      </c>
      <c r="CB81" s="167"/>
      <c r="CC81" s="183">
        <v>-106</v>
      </c>
      <c r="CD81" s="183">
        <v>0</v>
      </c>
      <c r="CE81" s="180">
        <v>405</v>
      </c>
      <c r="CF81" s="139">
        <v>7134</v>
      </c>
      <c r="CG81" s="216">
        <v>5770</v>
      </c>
      <c r="CH81" s="216">
        <v>804</v>
      </c>
      <c r="CI81" s="216">
        <v>560</v>
      </c>
      <c r="CJ81" s="212">
        <v>20.5</v>
      </c>
      <c r="CK81" s="144"/>
      <c r="CL81" s="130">
        <v>22</v>
      </c>
      <c r="CM81" s="228">
        <v>2155</v>
      </c>
      <c r="CN81" s="138"/>
      <c r="CO81" s="142">
        <v>4.5019157088122608</v>
      </c>
      <c r="CP81" s="142">
        <v>48.734736295141595</v>
      </c>
      <c r="CQ81" s="183">
        <v>-3092.3433874709976</v>
      </c>
      <c r="CR81" s="144"/>
      <c r="CS81"/>
      <c r="CU81" s="232">
        <v>46.03192135638151</v>
      </c>
      <c r="CV81" s="143">
        <v>653.36426914153128</v>
      </c>
      <c r="CW81" s="146">
        <v>26.717962048349364</v>
      </c>
      <c r="CX81" s="143">
        <v>8925.7540603248253</v>
      </c>
      <c r="CY81" s="131">
        <v>5717</v>
      </c>
      <c r="CZ81" s="229">
        <v>2997</v>
      </c>
      <c r="DA81" s="229">
        <v>18229</v>
      </c>
      <c r="DB81" s="216">
        <v>-15232</v>
      </c>
      <c r="DC81" s="229">
        <v>7469</v>
      </c>
      <c r="DD81" s="229">
        <v>8779</v>
      </c>
      <c r="DE81" s="151"/>
      <c r="DG81" s="229">
        <v>-1</v>
      </c>
      <c r="DH81" s="229">
        <v>159</v>
      </c>
      <c r="DI81" s="229">
        <v>1174</v>
      </c>
      <c r="DJ81" s="229">
        <v>572</v>
      </c>
      <c r="DK81" s="229">
        <v>0</v>
      </c>
      <c r="DL81" s="229">
        <v>0</v>
      </c>
      <c r="DM81" s="229">
        <v>602</v>
      </c>
      <c r="DN81" s="130">
        <v>0</v>
      </c>
      <c r="DO81" s="130">
        <v>0</v>
      </c>
      <c r="DP81" s="130">
        <v>0</v>
      </c>
      <c r="DQ81" s="130">
        <v>602</v>
      </c>
      <c r="DR81" s="130">
        <v>-38</v>
      </c>
      <c r="DS81" s="130">
        <v>1023</v>
      </c>
      <c r="DT81" s="167"/>
      <c r="DU81" s="183">
        <v>150</v>
      </c>
      <c r="DV81" s="183">
        <v>-260</v>
      </c>
      <c r="DW81" s="180">
        <v>540</v>
      </c>
      <c r="DX81" s="130">
        <v>7469</v>
      </c>
      <c r="DY81" s="229">
        <v>5811</v>
      </c>
      <c r="DZ81" s="229">
        <v>1186</v>
      </c>
      <c r="EA81" s="229">
        <v>472</v>
      </c>
      <c r="EB81" s="212">
        <v>20.5</v>
      </c>
      <c r="EC81" s="208"/>
      <c r="ED81" s="183">
        <v>211.16911764705799</v>
      </c>
      <c r="EE81" s="3">
        <v>9501</v>
      </c>
      <c r="EF81" s="183">
        <v>8960</v>
      </c>
      <c r="EG81" s="130">
        <v>10985</v>
      </c>
      <c r="EH81" s="130"/>
      <c r="EI81" s="130"/>
      <c r="EJ81" s="130"/>
      <c r="EK81" s="183">
        <v>-883</v>
      </c>
      <c r="EL81" s="183">
        <v>0</v>
      </c>
      <c r="EM81" s="183">
        <v>29</v>
      </c>
      <c r="EN81" s="226">
        <v>-802</v>
      </c>
      <c r="EO81" s="226">
        <v>57</v>
      </c>
      <c r="EP81" s="226">
        <v>24</v>
      </c>
      <c r="EQ81" s="226">
        <v>-741</v>
      </c>
      <c r="ER81" s="230">
        <v>79</v>
      </c>
      <c r="ES81" s="230">
        <v>179</v>
      </c>
      <c r="ET81" s="3">
        <v>3000</v>
      </c>
      <c r="EU81" s="211">
        <v>-1248</v>
      </c>
      <c r="EV81" s="183">
        <v>0</v>
      </c>
      <c r="EW81" s="183">
        <v>-260</v>
      </c>
      <c r="EX81" s="130">
        <v>0</v>
      </c>
      <c r="EY81" s="183">
        <v>0</v>
      </c>
      <c r="EZ81" s="3">
        <v>8143</v>
      </c>
      <c r="FA81" s="3">
        <v>3333</v>
      </c>
      <c r="FB81" s="3">
        <v>4810</v>
      </c>
      <c r="FC81" s="3">
        <v>160</v>
      </c>
      <c r="FD81" s="226">
        <v>7883</v>
      </c>
      <c r="FE81" s="183">
        <v>3073</v>
      </c>
      <c r="FF81" s="183">
        <v>4810</v>
      </c>
      <c r="FG81" s="183">
        <v>137</v>
      </c>
      <c r="FH81" s="230">
        <v>7623</v>
      </c>
      <c r="FI81" s="130">
        <v>2854</v>
      </c>
      <c r="FJ81" s="130">
        <v>4769</v>
      </c>
      <c r="FK81" s="130">
        <v>114</v>
      </c>
      <c r="FL81" s="29">
        <v>8743.7611408199646</v>
      </c>
      <c r="FM81" s="139">
        <v>9041.3260672116267</v>
      </c>
      <c r="FN81" s="139">
        <v>9004.6403712296978</v>
      </c>
      <c r="FO81" s="172">
        <f t="shared" si="3"/>
        <v>283.46341463414632</v>
      </c>
      <c r="FP81" s="170">
        <f t="shared" si="4"/>
        <v>131.53754739403541</v>
      </c>
      <c r="FR81" s="175"/>
      <c r="FS81" s="195"/>
      <c r="FV81" s="175">
        <v>61</v>
      </c>
      <c r="FW81" s="2">
        <f t="shared" si="5"/>
        <v>-61</v>
      </c>
      <c r="FZ81" s="186"/>
      <c r="GA81" s="2"/>
      <c r="GB81" s="2"/>
    </row>
    <row r="82" spans="1:184" ht="13" x14ac:dyDescent="0.3">
      <c r="A82" s="77">
        <v>240</v>
      </c>
      <c r="B82" s="75" t="s">
        <v>81</v>
      </c>
      <c r="C82" s="179">
        <v>21021</v>
      </c>
      <c r="D82" s="138"/>
      <c r="E82" s="142">
        <v>-0.1453802364618304</v>
      </c>
      <c r="F82" s="142">
        <v>74.177795888322208</v>
      </c>
      <c r="G82" s="183">
        <v>-4893.86803672518</v>
      </c>
      <c r="H82" s="144"/>
      <c r="I82" s="186"/>
      <c r="K82" s="210">
        <v>35.749166238076803</v>
      </c>
      <c r="L82" s="143">
        <v>68.360211217354063</v>
      </c>
      <c r="M82" s="146">
        <v>2.7967186191966644</v>
      </c>
      <c r="N82" s="143">
        <v>8921.6973502687797</v>
      </c>
      <c r="O82" s="138">
        <v>65080</v>
      </c>
      <c r="P82" s="143">
        <v>21142</v>
      </c>
      <c r="Q82" s="184">
        <v>158054</v>
      </c>
      <c r="R82" s="184">
        <v>-136912</v>
      </c>
      <c r="S82" s="139">
        <v>86360</v>
      </c>
      <c r="T82" s="138">
        <v>44851</v>
      </c>
      <c r="U82" s="151"/>
      <c r="W82" s="183">
        <v>-428</v>
      </c>
      <c r="X82" s="183">
        <v>2174</v>
      </c>
      <c r="Y82" s="184">
        <v>-3955</v>
      </c>
      <c r="Z82" s="130">
        <v>4616</v>
      </c>
      <c r="AA82" s="131">
        <v>0</v>
      </c>
      <c r="AB82" s="130">
        <v>0</v>
      </c>
      <c r="AC82" s="184">
        <v>-8571</v>
      </c>
      <c r="AD82" s="183">
        <v>0</v>
      </c>
      <c r="AE82" s="183">
        <v>0</v>
      </c>
      <c r="AF82" s="184">
        <v>14</v>
      </c>
      <c r="AG82" s="183">
        <v>-8557</v>
      </c>
      <c r="AH82" s="183">
        <v>-2718</v>
      </c>
      <c r="AI82" s="183">
        <v>-4583</v>
      </c>
      <c r="AJ82" s="167"/>
      <c r="AK82" s="183">
        <v>-3051</v>
      </c>
      <c r="AL82" s="183">
        <v>-19586</v>
      </c>
      <c r="AM82" s="180">
        <v>-13064</v>
      </c>
      <c r="AN82" s="139">
        <v>86360</v>
      </c>
      <c r="AO82" s="138">
        <v>72619</v>
      </c>
      <c r="AP82" s="184">
        <v>7185</v>
      </c>
      <c r="AQ82" s="138">
        <v>6556</v>
      </c>
      <c r="AR82" s="109">
        <v>21.75</v>
      </c>
      <c r="AS82" s="144"/>
      <c r="AT82" s="139">
        <v>285</v>
      </c>
      <c r="AU82" s="228">
        <v>20707</v>
      </c>
      <c r="AV82" s="138"/>
      <c r="AW82" s="224">
        <v>-0.46955777272876947</v>
      </c>
      <c r="AX82" s="225">
        <v>81.579121460703888</v>
      </c>
      <c r="AY82" s="139">
        <v>-5489.5445984449707</v>
      </c>
      <c r="AZ82" s="144"/>
      <c r="BA82"/>
      <c r="BC82" s="189">
        <v>30.112910724114162</v>
      </c>
      <c r="BD82" s="183">
        <v>65.533394504273929</v>
      </c>
      <c r="BE82" s="140">
        <v>2.7831908879935718</v>
      </c>
      <c r="BF82" s="139">
        <v>8594.3400782344142</v>
      </c>
      <c r="BG82" s="184">
        <v>62818</v>
      </c>
      <c r="BH82" s="216">
        <v>20343</v>
      </c>
      <c r="BI82" s="216">
        <v>160128</v>
      </c>
      <c r="BJ82" s="216">
        <v>-139603</v>
      </c>
      <c r="BK82" s="216">
        <v>86724</v>
      </c>
      <c r="BL82" s="216">
        <v>44093</v>
      </c>
      <c r="BM82" s="151"/>
      <c r="BO82" s="216">
        <v>-147</v>
      </c>
      <c r="BP82" s="216">
        <v>1063</v>
      </c>
      <c r="BQ82" s="216">
        <v>-7870</v>
      </c>
      <c r="BR82" s="216">
        <v>5087</v>
      </c>
      <c r="BS82" s="216">
        <v>0</v>
      </c>
      <c r="BT82" s="216">
        <v>0</v>
      </c>
      <c r="BU82" s="216">
        <v>-12957</v>
      </c>
      <c r="BV82" s="183">
        <v>0</v>
      </c>
      <c r="BW82" s="183">
        <v>0</v>
      </c>
      <c r="BX82" s="184">
        <v>2994</v>
      </c>
      <c r="BY82" s="183">
        <v>-9963</v>
      </c>
      <c r="BZ82" s="183">
        <v>-10795</v>
      </c>
      <c r="CA82" s="183">
        <v>-8182</v>
      </c>
      <c r="CB82" s="167"/>
      <c r="CC82" s="183">
        <v>264</v>
      </c>
      <c r="CD82" s="183">
        <v>-12491</v>
      </c>
      <c r="CE82" s="180">
        <v>-12274</v>
      </c>
      <c r="CF82" s="139">
        <v>86724</v>
      </c>
      <c r="CG82" s="216">
        <v>74973</v>
      </c>
      <c r="CH82" s="216">
        <v>5132</v>
      </c>
      <c r="CI82" s="216">
        <v>6619</v>
      </c>
      <c r="CJ82" s="212">
        <v>21.75</v>
      </c>
      <c r="CK82" s="144"/>
      <c r="CL82" s="130">
        <v>284</v>
      </c>
      <c r="CM82" s="228">
        <v>20437</v>
      </c>
      <c r="CN82" s="138"/>
      <c r="CO82" s="142">
        <v>0.56803985722784056</v>
      </c>
      <c r="CP82" s="142">
        <v>73.294112621217025</v>
      </c>
      <c r="CQ82" s="183">
        <v>-5411.704261877966</v>
      </c>
      <c r="CR82" s="144"/>
      <c r="CS82"/>
      <c r="CU82" s="232">
        <v>31.317686135192222</v>
      </c>
      <c r="CV82" s="143">
        <v>164.94593139893331</v>
      </c>
      <c r="CW82" s="146">
        <v>6.8632443829625824</v>
      </c>
      <c r="CX82" s="143">
        <v>8772.1289817487886</v>
      </c>
      <c r="CY82" s="131">
        <v>62753</v>
      </c>
      <c r="CZ82" s="229">
        <v>19646</v>
      </c>
      <c r="DA82" s="229">
        <v>159530</v>
      </c>
      <c r="DB82" s="216">
        <v>-139884</v>
      </c>
      <c r="DC82" s="229">
        <v>88470</v>
      </c>
      <c r="DD82" s="229">
        <v>55903</v>
      </c>
      <c r="DE82" s="151"/>
      <c r="DG82" s="229">
        <v>-78</v>
      </c>
      <c r="DH82" s="229">
        <v>2599</v>
      </c>
      <c r="DI82" s="229">
        <v>7010</v>
      </c>
      <c r="DJ82" s="229">
        <v>5094</v>
      </c>
      <c r="DK82" s="229">
        <v>0</v>
      </c>
      <c r="DL82" s="229">
        <v>0</v>
      </c>
      <c r="DM82" s="229">
        <v>1916</v>
      </c>
      <c r="DN82" s="130">
        <v>0</v>
      </c>
      <c r="DO82" s="130">
        <v>0</v>
      </c>
      <c r="DP82" s="131">
        <v>0</v>
      </c>
      <c r="DQ82" s="130">
        <v>1916</v>
      </c>
      <c r="DR82" s="130">
        <v>-8878</v>
      </c>
      <c r="DS82" s="130">
        <v>7028</v>
      </c>
      <c r="DT82" s="167"/>
      <c r="DU82" s="183">
        <v>2157</v>
      </c>
      <c r="DV82" s="183">
        <v>-12819</v>
      </c>
      <c r="DW82" s="180">
        <v>1039</v>
      </c>
      <c r="DX82" s="130">
        <v>88470</v>
      </c>
      <c r="DY82" s="229">
        <v>76160</v>
      </c>
      <c r="DZ82" s="229">
        <v>5946</v>
      </c>
      <c r="EA82" s="229">
        <v>6364</v>
      </c>
      <c r="EB82" s="212">
        <v>21.75</v>
      </c>
      <c r="EC82" s="208"/>
      <c r="ED82" s="183">
        <v>267.58088235294099</v>
      </c>
      <c r="EE82" s="3">
        <v>72499</v>
      </c>
      <c r="EF82" s="183">
        <v>76040</v>
      </c>
      <c r="EG82" s="130">
        <v>74091</v>
      </c>
      <c r="EH82" s="130"/>
      <c r="EI82" s="130"/>
      <c r="EJ82" s="130">
        <v>1500</v>
      </c>
      <c r="EK82" s="183">
        <v>-9125</v>
      </c>
      <c r="EL82" s="183">
        <v>0</v>
      </c>
      <c r="EM82" s="183">
        <v>644</v>
      </c>
      <c r="EN82" s="226">
        <v>-4777</v>
      </c>
      <c r="EO82" s="226">
        <v>0</v>
      </c>
      <c r="EP82" s="226">
        <v>685</v>
      </c>
      <c r="EQ82" s="226">
        <v>-6411</v>
      </c>
      <c r="ER82" s="230">
        <v>0</v>
      </c>
      <c r="ES82" s="230">
        <v>422</v>
      </c>
      <c r="ET82" s="3">
        <v>20000</v>
      </c>
      <c r="EU82" s="211">
        <v>10000</v>
      </c>
      <c r="EV82" s="183">
        <v>13000</v>
      </c>
      <c r="EW82" s="183">
        <v>10000</v>
      </c>
      <c r="EX82" s="130">
        <v>13000</v>
      </c>
      <c r="EY82" s="183">
        <v>500</v>
      </c>
      <c r="EZ82" s="3">
        <v>95995</v>
      </c>
      <c r="FA82" s="3">
        <v>58003</v>
      </c>
      <c r="FB82" s="3">
        <v>37992</v>
      </c>
      <c r="FC82" s="3">
        <v>18949</v>
      </c>
      <c r="FD82" s="226">
        <v>106504</v>
      </c>
      <c r="FE82" s="183">
        <v>58835</v>
      </c>
      <c r="FF82" s="183">
        <v>47669</v>
      </c>
      <c r="FG82" s="183">
        <v>18949</v>
      </c>
      <c r="FH82" s="230">
        <v>107184</v>
      </c>
      <c r="FI82" s="130">
        <v>61107</v>
      </c>
      <c r="FJ82" s="130">
        <v>46077</v>
      </c>
      <c r="FK82" s="130">
        <v>17376</v>
      </c>
      <c r="FL82" s="29">
        <v>6438.561438561439</v>
      </c>
      <c r="FM82" s="139">
        <v>7206.3070459264982</v>
      </c>
      <c r="FN82" s="139">
        <v>7868.131330430102</v>
      </c>
      <c r="FO82" s="172">
        <f t="shared" si="3"/>
        <v>3501.6091954022991</v>
      </c>
      <c r="FP82" s="170">
        <f t="shared" si="4"/>
        <v>171.33675174449766</v>
      </c>
      <c r="FR82" s="175"/>
      <c r="FS82" s="195"/>
      <c r="FV82" s="175">
        <v>9559</v>
      </c>
      <c r="FW82" s="2">
        <f t="shared" si="5"/>
        <v>-9559</v>
      </c>
      <c r="FZ82" s="186"/>
      <c r="GA82" s="2"/>
      <c r="GB82" s="2"/>
    </row>
    <row r="83" spans="1:184" ht="13" x14ac:dyDescent="0.3">
      <c r="A83" s="77">
        <v>320</v>
      </c>
      <c r="B83" s="75" t="s">
        <v>114</v>
      </c>
      <c r="C83" s="179">
        <v>7370</v>
      </c>
      <c r="D83" s="138"/>
      <c r="E83" s="142">
        <v>0.27237728585178056</v>
      </c>
      <c r="F83" s="142">
        <v>63.923154701718907</v>
      </c>
      <c r="G83" s="183">
        <v>-4858.4803256445048</v>
      </c>
      <c r="H83" s="144"/>
      <c r="I83" s="186"/>
      <c r="K83" s="210">
        <v>46.065019505851758</v>
      </c>
      <c r="L83" s="143">
        <v>300.81411126187248</v>
      </c>
      <c r="M83" s="146">
        <v>11.265243902439025</v>
      </c>
      <c r="N83" s="143">
        <v>9746.5400271370418</v>
      </c>
      <c r="O83" s="138">
        <v>27916</v>
      </c>
      <c r="P83" s="143">
        <v>9482</v>
      </c>
      <c r="Q83" s="184">
        <v>64611</v>
      </c>
      <c r="R83" s="184">
        <v>-55129</v>
      </c>
      <c r="S83" s="139">
        <v>29446</v>
      </c>
      <c r="T83" s="138">
        <v>25357</v>
      </c>
      <c r="U83" s="151"/>
      <c r="W83" s="183">
        <v>189</v>
      </c>
      <c r="X83" s="183">
        <v>1318</v>
      </c>
      <c r="Y83" s="184">
        <v>1181</v>
      </c>
      <c r="Z83" s="130">
        <v>2419</v>
      </c>
      <c r="AA83" s="131">
        <v>0</v>
      </c>
      <c r="AB83" s="131">
        <v>0</v>
      </c>
      <c r="AC83" s="184">
        <v>-1238</v>
      </c>
      <c r="AD83" s="183">
        <v>0</v>
      </c>
      <c r="AE83" s="183">
        <v>0</v>
      </c>
      <c r="AF83" s="184">
        <v>11</v>
      </c>
      <c r="AG83" s="183">
        <v>-1227</v>
      </c>
      <c r="AH83" s="183">
        <v>-4105</v>
      </c>
      <c r="AI83" s="183">
        <v>646</v>
      </c>
      <c r="AJ83" s="167"/>
      <c r="AK83" s="183">
        <v>855</v>
      </c>
      <c r="AL83" s="183">
        <v>-4961</v>
      </c>
      <c r="AM83" s="180">
        <v>1472</v>
      </c>
      <c r="AN83" s="139">
        <v>29446</v>
      </c>
      <c r="AO83" s="138">
        <v>23822</v>
      </c>
      <c r="AP83" s="184">
        <v>1298</v>
      </c>
      <c r="AQ83" s="138">
        <v>4326</v>
      </c>
      <c r="AR83" s="109">
        <v>21.5</v>
      </c>
      <c r="AS83" s="144"/>
      <c r="AT83" s="139">
        <v>190</v>
      </c>
      <c r="AU83" s="228">
        <v>7274</v>
      </c>
      <c r="AV83" s="138"/>
      <c r="AW83" s="224">
        <v>0.46791356819149205</v>
      </c>
      <c r="AX83" s="225">
        <v>66.662428076421776</v>
      </c>
      <c r="AY83" s="139">
        <v>-5058.9771789936758</v>
      </c>
      <c r="AZ83" s="144"/>
      <c r="BA83"/>
      <c r="BC83" s="189">
        <v>45.362465072958706</v>
      </c>
      <c r="BD83" s="183">
        <v>135.5512785262579</v>
      </c>
      <c r="BE83" s="140">
        <v>4.8918702170751267</v>
      </c>
      <c r="BF83" s="139">
        <v>10113.967555677757</v>
      </c>
      <c r="BG83" s="184">
        <v>26933</v>
      </c>
      <c r="BH83" s="216">
        <v>9219</v>
      </c>
      <c r="BI83" s="216">
        <v>64578</v>
      </c>
      <c r="BJ83" s="216">
        <v>-55359</v>
      </c>
      <c r="BK83" s="216">
        <v>28496</v>
      </c>
      <c r="BL83" s="216">
        <v>25199</v>
      </c>
      <c r="BM83" s="151"/>
      <c r="BO83" s="216">
        <v>167</v>
      </c>
      <c r="BP83" s="216">
        <v>3589</v>
      </c>
      <c r="BQ83" s="216">
        <v>2092</v>
      </c>
      <c r="BR83" s="216">
        <v>2449</v>
      </c>
      <c r="BS83" s="216">
        <v>0</v>
      </c>
      <c r="BT83" s="216">
        <v>0</v>
      </c>
      <c r="BU83" s="216">
        <v>-357</v>
      </c>
      <c r="BV83" s="183">
        <v>0</v>
      </c>
      <c r="BW83" s="183">
        <v>0</v>
      </c>
      <c r="BX83" s="184">
        <v>14</v>
      </c>
      <c r="BY83" s="183">
        <v>-343</v>
      </c>
      <c r="BZ83" s="183">
        <v>-4447</v>
      </c>
      <c r="CA83" s="183">
        <v>1882</v>
      </c>
      <c r="CB83" s="167"/>
      <c r="CC83" s="183">
        <v>-1086</v>
      </c>
      <c r="CD83" s="183">
        <v>-5284</v>
      </c>
      <c r="CE83" s="180">
        <v>-700</v>
      </c>
      <c r="CF83" s="139">
        <v>28496</v>
      </c>
      <c r="CG83" s="216">
        <v>22775</v>
      </c>
      <c r="CH83" s="216">
        <v>1184</v>
      </c>
      <c r="CI83" s="216">
        <v>4537</v>
      </c>
      <c r="CJ83" s="212">
        <v>21.5</v>
      </c>
      <c r="CK83" s="144"/>
      <c r="CL83" s="130">
        <v>93</v>
      </c>
      <c r="CM83" s="228">
        <v>7191</v>
      </c>
      <c r="CN83" s="138"/>
      <c r="CO83" s="142">
        <v>0.83554207248922241</v>
      </c>
      <c r="CP83" s="142">
        <v>69.435196627171621</v>
      </c>
      <c r="CQ83" s="183">
        <v>-5325.4067584480599</v>
      </c>
      <c r="CR83" s="144"/>
      <c r="CS83"/>
      <c r="CU83" s="232">
        <v>43.696234992423356</v>
      </c>
      <c r="CV83" s="143">
        <v>695.31358642747875</v>
      </c>
      <c r="CW83" s="146">
        <v>22.946738419755569</v>
      </c>
      <c r="CX83" s="143">
        <v>11059.93603115005</v>
      </c>
      <c r="CY83" s="131">
        <v>25258</v>
      </c>
      <c r="CZ83" s="229">
        <v>9512</v>
      </c>
      <c r="DA83" s="229">
        <v>64839</v>
      </c>
      <c r="DB83" s="216">
        <v>-55327</v>
      </c>
      <c r="DC83" s="229">
        <v>29589</v>
      </c>
      <c r="DD83" s="229">
        <v>29684</v>
      </c>
      <c r="DE83" s="151"/>
      <c r="DG83" s="229">
        <v>179</v>
      </c>
      <c r="DH83" s="229">
        <v>879</v>
      </c>
      <c r="DI83" s="229">
        <v>5004</v>
      </c>
      <c r="DJ83" s="229">
        <v>2584</v>
      </c>
      <c r="DK83" s="229">
        <v>0</v>
      </c>
      <c r="DL83" s="229">
        <v>0</v>
      </c>
      <c r="DM83" s="229">
        <v>2420</v>
      </c>
      <c r="DN83" s="130">
        <v>0</v>
      </c>
      <c r="DO83" s="130">
        <v>-1</v>
      </c>
      <c r="DP83" s="131">
        <v>0</v>
      </c>
      <c r="DQ83" s="130">
        <v>2419</v>
      </c>
      <c r="DR83" s="130">
        <v>-2028</v>
      </c>
      <c r="DS83" s="130">
        <v>4902</v>
      </c>
      <c r="DT83" s="167"/>
      <c r="DU83" s="183">
        <v>-310</v>
      </c>
      <c r="DV83" s="183">
        <v>-6034</v>
      </c>
      <c r="DW83" s="180">
        <v>-1764</v>
      </c>
      <c r="DX83" s="130">
        <v>29589</v>
      </c>
      <c r="DY83" s="229">
        <v>24214</v>
      </c>
      <c r="DZ83" s="229">
        <v>1377</v>
      </c>
      <c r="EA83" s="229">
        <v>3998</v>
      </c>
      <c r="EB83" s="212">
        <v>21.5</v>
      </c>
      <c r="EC83" s="208"/>
      <c r="ED83" s="183">
        <v>134.61029411764699</v>
      </c>
      <c r="EE83" s="3">
        <v>26413</v>
      </c>
      <c r="EF83" s="183">
        <v>27201</v>
      </c>
      <c r="EG83" s="130">
        <v>29414</v>
      </c>
      <c r="EH83" s="130"/>
      <c r="EI83" s="130"/>
      <c r="EJ83" s="130">
        <v>1000</v>
      </c>
      <c r="EK83" s="183">
        <v>-1576</v>
      </c>
      <c r="EL83" s="183">
        <v>100</v>
      </c>
      <c r="EM83" s="183">
        <v>2302</v>
      </c>
      <c r="EN83" s="226">
        <v>-2849</v>
      </c>
      <c r="EO83" s="226">
        <v>0</v>
      </c>
      <c r="EP83" s="226">
        <v>267</v>
      </c>
      <c r="EQ83" s="226">
        <v>-7002</v>
      </c>
      <c r="ER83" s="230">
        <v>0</v>
      </c>
      <c r="ES83" s="230">
        <v>336</v>
      </c>
      <c r="ET83" s="3">
        <v>7200</v>
      </c>
      <c r="EU83" s="211">
        <v>-4000</v>
      </c>
      <c r="EV83" s="183">
        <v>10000</v>
      </c>
      <c r="EW83" s="183">
        <v>-3000</v>
      </c>
      <c r="EX83" s="130">
        <v>11700</v>
      </c>
      <c r="EY83" s="183">
        <v>0</v>
      </c>
      <c r="EZ83" s="3">
        <v>32698</v>
      </c>
      <c r="FA83" s="3">
        <v>24664</v>
      </c>
      <c r="FB83" s="3">
        <v>8034</v>
      </c>
      <c r="FC83" s="3">
        <v>11529</v>
      </c>
      <c r="FD83" s="226">
        <v>34414</v>
      </c>
      <c r="FE83" s="183">
        <v>28880</v>
      </c>
      <c r="FF83" s="183">
        <v>5534</v>
      </c>
      <c r="FG83" s="183">
        <v>11706</v>
      </c>
      <c r="FH83" s="230">
        <v>40080</v>
      </c>
      <c r="FI83" s="130">
        <v>33819</v>
      </c>
      <c r="FJ83" s="130">
        <v>6261</v>
      </c>
      <c r="FK83" s="130">
        <v>11656</v>
      </c>
      <c r="FL83" s="29">
        <v>8987.51696065129</v>
      </c>
      <c r="FM83" s="139">
        <v>9228.3475391806423</v>
      </c>
      <c r="FN83" s="139">
        <v>10448.477263245724</v>
      </c>
      <c r="FO83" s="172">
        <f t="shared" si="3"/>
        <v>1126.2325581395348</v>
      </c>
      <c r="FP83" s="170">
        <f t="shared" si="4"/>
        <v>156.6169598302788</v>
      </c>
      <c r="FR83" s="175"/>
      <c r="FS83" s="195"/>
      <c r="FV83" s="175">
        <v>4403</v>
      </c>
      <c r="FW83" s="2">
        <f t="shared" si="5"/>
        <v>-4403</v>
      </c>
      <c r="FZ83" s="186"/>
      <c r="GA83" s="2"/>
      <c r="GB83" s="2"/>
    </row>
    <row r="84" spans="1:184" ht="13" x14ac:dyDescent="0.3">
      <c r="A84" s="77">
        <v>241</v>
      </c>
      <c r="B84" s="75" t="s">
        <v>82</v>
      </c>
      <c r="C84" s="179">
        <v>8147</v>
      </c>
      <c r="D84" s="138"/>
      <c r="E84" s="142">
        <v>0.12565606668724916</v>
      </c>
      <c r="F84" s="142">
        <v>42.990202709231099</v>
      </c>
      <c r="G84" s="183">
        <v>-1439.0573217135141</v>
      </c>
      <c r="H84" s="144"/>
      <c r="I84" s="186"/>
      <c r="K84" s="210">
        <v>52.803483941208491</v>
      </c>
      <c r="L84" s="143">
        <v>759.91162391064188</v>
      </c>
      <c r="M84" s="146">
        <v>39.886239277014859</v>
      </c>
      <c r="N84" s="143">
        <v>6953.9707867926845</v>
      </c>
      <c r="O84" s="138">
        <v>19866</v>
      </c>
      <c r="P84" s="143">
        <v>4484</v>
      </c>
      <c r="Q84" s="184">
        <v>51725</v>
      </c>
      <c r="R84" s="184">
        <v>-47241</v>
      </c>
      <c r="S84" s="139">
        <v>34855</v>
      </c>
      <c r="T84" s="138">
        <v>12410</v>
      </c>
      <c r="U84" s="151"/>
      <c r="W84" s="183">
        <v>-22</v>
      </c>
      <c r="X84" s="183">
        <v>173</v>
      </c>
      <c r="Y84" s="184">
        <v>175</v>
      </c>
      <c r="Z84" s="130">
        <v>1909</v>
      </c>
      <c r="AA84" s="131">
        <v>1569</v>
      </c>
      <c r="AB84" s="130">
        <v>867</v>
      </c>
      <c r="AC84" s="184">
        <v>-1032</v>
      </c>
      <c r="AD84" s="183">
        <v>0</v>
      </c>
      <c r="AE84" s="183">
        <v>0</v>
      </c>
      <c r="AF84" s="183">
        <v>0</v>
      </c>
      <c r="AG84" s="183">
        <v>-1032</v>
      </c>
      <c r="AH84" s="183">
        <v>2408</v>
      </c>
      <c r="AI84" s="183">
        <v>90</v>
      </c>
      <c r="AJ84" s="167"/>
      <c r="AK84" s="183">
        <v>-2595</v>
      </c>
      <c r="AL84" s="183">
        <v>-3007</v>
      </c>
      <c r="AM84" s="180">
        <v>5527</v>
      </c>
      <c r="AN84" s="139">
        <v>34855</v>
      </c>
      <c r="AO84" s="138">
        <v>30057</v>
      </c>
      <c r="AP84" s="184">
        <v>1033</v>
      </c>
      <c r="AQ84" s="138">
        <v>3765</v>
      </c>
      <c r="AR84" s="109">
        <v>21.25</v>
      </c>
      <c r="AS84" s="144"/>
      <c r="AT84" s="139">
        <v>245</v>
      </c>
      <c r="AU84" s="228">
        <v>8079</v>
      </c>
      <c r="AV84" s="138"/>
      <c r="AW84" s="224">
        <v>0.33417140840721626</v>
      </c>
      <c r="AX84" s="225">
        <v>44.378099961846623</v>
      </c>
      <c r="AY84" s="139">
        <v>-1484.2183438544375</v>
      </c>
      <c r="AZ84" s="144"/>
      <c r="BA84"/>
      <c r="BC84" s="189">
        <v>50.713494766312181</v>
      </c>
      <c r="BD84" s="183">
        <v>1036.2668647109792</v>
      </c>
      <c r="BE84" s="140">
        <v>53.721388136844695</v>
      </c>
      <c r="BF84" s="139">
        <v>7040.7228617403143</v>
      </c>
      <c r="BG84" s="184">
        <v>16453</v>
      </c>
      <c r="BH84" s="216">
        <v>3444</v>
      </c>
      <c r="BI84" s="216">
        <v>51866</v>
      </c>
      <c r="BJ84" s="216">
        <v>-48422</v>
      </c>
      <c r="BK84" s="216">
        <v>35862</v>
      </c>
      <c r="BL84" s="216">
        <v>13114</v>
      </c>
      <c r="BM84" s="151"/>
      <c r="BO84" s="216">
        <v>76</v>
      </c>
      <c r="BP84" s="216">
        <v>109</v>
      </c>
      <c r="BQ84" s="216">
        <v>739</v>
      </c>
      <c r="BR84" s="216">
        <v>1688</v>
      </c>
      <c r="BS84" s="216">
        <v>3</v>
      </c>
      <c r="BT84" s="216">
        <v>0</v>
      </c>
      <c r="BU84" s="216">
        <v>-946</v>
      </c>
      <c r="BV84" s="183">
        <v>0</v>
      </c>
      <c r="BW84" s="183">
        <v>0</v>
      </c>
      <c r="BX84" s="183">
        <v>0</v>
      </c>
      <c r="BY84" s="183">
        <v>-946</v>
      </c>
      <c r="BZ84" s="183">
        <v>1461</v>
      </c>
      <c r="CA84" s="183">
        <v>739</v>
      </c>
      <c r="CB84" s="167"/>
      <c r="CC84" s="183">
        <v>1432</v>
      </c>
      <c r="CD84" s="183">
        <v>-3461</v>
      </c>
      <c r="CE84" s="180">
        <v>-543</v>
      </c>
      <c r="CF84" s="139">
        <v>35862</v>
      </c>
      <c r="CG84" s="216">
        <v>30785</v>
      </c>
      <c r="CH84" s="216">
        <v>1094</v>
      </c>
      <c r="CI84" s="216">
        <v>3983</v>
      </c>
      <c r="CJ84" s="212">
        <v>21.25</v>
      </c>
      <c r="CK84" s="144"/>
      <c r="CL84" s="130">
        <v>186</v>
      </c>
      <c r="CM84" s="228">
        <v>7984</v>
      </c>
      <c r="CN84" s="138"/>
      <c r="CO84" s="142">
        <v>1.4530317310713163</v>
      </c>
      <c r="CP84" s="142">
        <v>35.641190782882497</v>
      </c>
      <c r="CQ84" s="183">
        <v>-1365.9819639278558</v>
      </c>
      <c r="CR84" s="144"/>
      <c r="CS84"/>
      <c r="CU84" s="232">
        <v>56.942677859747306</v>
      </c>
      <c r="CV84" s="143">
        <v>637.39979959919845</v>
      </c>
      <c r="CW84" s="146">
        <v>31.810607617481846</v>
      </c>
      <c r="CX84" s="143">
        <v>7313.6272545090178</v>
      </c>
      <c r="CY84" s="131">
        <v>16390</v>
      </c>
      <c r="CZ84" s="229">
        <v>3480</v>
      </c>
      <c r="DA84" s="229">
        <v>51493</v>
      </c>
      <c r="DB84" s="216">
        <v>-48013</v>
      </c>
      <c r="DC84" s="229">
        <v>36220</v>
      </c>
      <c r="DD84" s="229">
        <v>16196</v>
      </c>
      <c r="DE84" s="151"/>
      <c r="DG84" s="229">
        <v>24</v>
      </c>
      <c r="DH84" s="229">
        <v>26</v>
      </c>
      <c r="DI84" s="229">
        <v>4453</v>
      </c>
      <c r="DJ84" s="229">
        <v>1906</v>
      </c>
      <c r="DK84" s="229">
        <v>41</v>
      </c>
      <c r="DL84" s="229">
        <v>0</v>
      </c>
      <c r="DM84" s="229">
        <v>2588</v>
      </c>
      <c r="DN84" s="130">
        <v>0</v>
      </c>
      <c r="DO84" s="130">
        <v>0</v>
      </c>
      <c r="DP84" s="130">
        <v>0</v>
      </c>
      <c r="DQ84" s="130">
        <v>2588</v>
      </c>
      <c r="DR84" s="130">
        <v>4049</v>
      </c>
      <c r="DS84" s="130">
        <v>4463</v>
      </c>
      <c r="DT84" s="167"/>
      <c r="DU84" s="183">
        <v>-1068</v>
      </c>
      <c r="DV84" s="183">
        <v>-3011</v>
      </c>
      <c r="DW84" s="180">
        <v>834</v>
      </c>
      <c r="DX84" s="130">
        <v>36220</v>
      </c>
      <c r="DY84" s="229">
        <v>31240</v>
      </c>
      <c r="DZ84" s="229">
        <v>1399</v>
      </c>
      <c r="EA84" s="229">
        <v>3581</v>
      </c>
      <c r="EB84" s="212">
        <v>21.25</v>
      </c>
      <c r="EC84" s="208"/>
      <c r="ED84" s="183">
        <v>204.117647058823</v>
      </c>
      <c r="EE84" s="3">
        <v>27358</v>
      </c>
      <c r="EF84" s="183">
        <v>31337</v>
      </c>
      <c r="EG84" s="130">
        <v>31138</v>
      </c>
      <c r="EH84" s="130"/>
      <c r="EI84" s="130"/>
      <c r="EJ84" s="130"/>
      <c r="EK84" s="183">
        <v>-1625</v>
      </c>
      <c r="EL84" s="183">
        <v>68</v>
      </c>
      <c r="EM84" s="183">
        <v>6994</v>
      </c>
      <c r="EN84" s="226">
        <v>-1327</v>
      </c>
      <c r="EO84" s="226">
        <v>39</v>
      </c>
      <c r="EP84" s="226">
        <v>6</v>
      </c>
      <c r="EQ84" s="226">
        <v>-3695</v>
      </c>
      <c r="ER84" s="230">
        <v>17</v>
      </c>
      <c r="ES84" s="230">
        <v>49</v>
      </c>
      <c r="ET84" s="3">
        <v>0</v>
      </c>
      <c r="EU84" s="211">
        <v>0</v>
      </c>
      <c r="EV84" s="183">
        <v>5000</v>
      </c>
      <c r="EW84" s="183">
        <v>700</v>
      </c>
      <c r="EX84" s="130">
        <v>0</v>
      </c>
      <c r="EY84" s="183">
        <v>-700</v>
      </c>
      <c r="EZ84" s="3">
        <v>16274</v>
      </c>
      <c r="FA84" s="3">
        <v>12972</v>
      </c>
      <c r="FB84" s="3">
        <v>3302</v>
      </c>
      <c r="FC84" s="3">
        <v>5818</v>
      </c>
      <c r="FD84" s="226">
        <v>18514</v>
      </c>
      <c r="FE84" s="183">
        <v>15270</v>
      </c>
      <c r="FF84" s="183">
        <v>3244</v>
      </c>
      <c r="FG84" s="183">
        <v>5583</v>
      </c>
      <c r="FH84" s="230">
        <v>14803</v>
      </c>
      <c r="FI84" s="130">
        <v>11791</v>
      </c>
      <c r="FJ84" s="130">
        <v>3012</v>
      </c>
      <c r="FK84" s="130">
        <v>5373</v>
      </c>
      <c r="FL84" s="29">
        <v>3192.8317171965141</v>
      </c>
      <c r="FM84" s="139">
        <v>3424.4337170441886</v>
      </c>
      <c r="FN84" s="139">
        <v>3003.5070140280559</v>
      </c>
      <c r="FO84" s="172">
        <f t="shared" si="3"/>
        <v>1470.1176470588234</v>
      </c>
      <c r="FP84" s="170">
        <f t="shared" si="4"/>
        <v>184.13297182600493</v>
      </c>
      <c r="FR84" s="175"/>
      <c r="FS84" s="195"/>
      <c r="FV84" s="175">
        <v>2686</v>
      </c>
      <c r="FW84" s="2">
        <f t="shared" si="5"/>
        <v>-2686</v>
      </c>
      <c r="FZ84" s="186"/>
      <c r="GA84" s="2"/>
      <c r="GB84" s="2"/>
    </row>
    <row r="85" spans="1:184" ht="13" x14ac:dyDescent="0.3">
      <c r="A85" s="174">
        <v>322</v>
      </c>
      <c r="B85" s="81" t="s">
        <v>362</v>
      </c>
      <c r="C85" s="179">
        <v>6724</v>
      </c>
      <c r="D85" s="138"/>
      <c r="E85" s="142">
        <v>0.31960049937578028</v>
      </c>
      <c r="F85" s="142">
        <v>54.719650963976179</v>
      </c>
      <c r="G85" s="183">
        <v>-3517.2516359309934</v>
      </c>
      <c r="H85" s="144"/>
      <c r="I85" s="186"/>
      <c r="K85" s="210">
        <v>55.648684659002882</v>
      </c>
      <c r="L85" s="143">
        <v>293.57525282569895</v>
      </c>
      <c r="M85" s="146">
        <v>13.318853171155517</v>
      </c>
      <c r="N85" s="143">
        <v>8045.3599048185606</v>
      </c>
      <c r="O85" s="138">
        <v>24097</v>
      </c>
      <c r="P85" s="143">
        <v>7422</v>
      </c>
      <c r="Q85" s="184">
        <v>50175</v>
      </c>
      <c r="R85" s="184">
        <v>-42753</v>
      </c>
      <c r="S85" s="139">
        <v>22262</v>
      </c>
      <c r="T85" s="138">
        <v>21205</v>
      </c>
      <c r="U85" s="151"/>
      <c r="W85" s="183">
        <v>-207</v>
      </c>
      <c r="X85" s="183">
        <v>54</v>
      </c>
      <c r="Y85" s="184">
        <v>561</v>
      </c>
      <c r="Z85" s="130">
        <v>3610</v>
      </c>
      <c r="AA85" s="130">
        <v>0</v>
      </c>
      <c r="AB85" s="130">
        <v>0</v>
      </c>
      <c r="AC85" s="184">
        <v>-3049</v>
      </c>
      <c r="AD85" s="184">
        <v>157</v>
      </c>
      <c r="AE85" s="183">
        <v>0</v>
      </c>
      <c r="AF85" s="183">
        <v>0</v>
      </c>
      <c r="AG85" s="183">
        <v>-2892</v>
      </c>
      <c r="AH85" s="183">
        <v>14445</v>
      </c>
      <c r="AI85" s="183">
        <v>180</v>
      </c>
      <c r="AJ85" s="167"/>
      <c r="AK85" s="183">
        <v>242</v>
      </c>
      <c r="AL85" s="183">
        <v>-2196</v>
      </c>
      <c r="AM85" s="180">
        <v>-733</v>
      </c>
      <c r="AN85" s="139">
        <v>22262</v>
      </c>
      <c r="AO85" s="138">
        <v>17833</v>
      </c>
      <c r="AP85" s="184">
        <v>1070</v>
      </c>
      <c r="AQ85" s="138">
        <v>3359</v>
      </c>
      <c r="AR85" s="109">
        <v>19.75</v>
      </c>
      <c r="AS85" s="144"/>
      <c r="AT85" s="139">
        <v>218</v>
      </c>
      <c r="AU85" s="228">
        <v>6640</v>
      </c>
      <c r="AV85" s="138"/>
      <c r="AW85" s="224">
        <v>0.41639963848492317</v>
      </c>
      <c r="AX85" s="225">
        <v>55.588155286985582</v>
      </c>
      <c r="AY85" s="139">
        <v>-3574.0963855421687</v>
      </c>
      <c r="AZ85" s="144"/>
      <c r="BA85"/>
      <c r="BC85" s="189">
        <v>53.168755780946</v>
      </c>
      <c r="BD85" s="183">
        <v>408.58433734939757</v>
      </c>
      <c r="BE85" s="140">
        <v>18.424191117643776</v>
      </c>
      <c r="BF85" s="139">
        <v>8094.4277108433735</v>
      </c>
      <c r="BG85" s="184">
        <v>23976</v>
      </c>
      <c r="BH85" s="216">
        <v>7208</v>
      </c>
      <c r="BI85" s="216">
        <v>50235</v>
      </c>
      <c r="BJ85" s="216">
        <v>-43024</v>
      </c>
      <c r="BK85" s="216">
        <v>22657</v>
      </c>
      <c r="BL85" s="216">
        <v>21601</v>
      </c>
      <c r="BM85" s="151"/>
      <c r="BO85" s="216">
        <v>-172</v>
      </c>
      <c r="BP85" s="216">
        <v>32</v>
      </c>
      <c r="BQ85" s="216">
        <v>1094</v>
      </c>
      <c r="BR85" s="216">
        <v>3673</v>
      </c>
      <c r="BS85" s="216">
        <v>0</v>
      </c>
      <c r="BT85" s="216">
        <v>0</v>
      </c>
      <c r="BU85" s="216">
        <v>-2579</v>
      </c>
      <c r="BV85" s="184">
        <v>143</v>
      </c>
      <c r="BW85" s="183">
        <v>0</v>
      </c>
      <c r="BX85" s="183">
        <v>0</v>
      </c>
      <c r="BY85" s="183">
        <v>-2436</v>
      </c>
      <c r="BZ85" s="183">
        <v>12009</v>
      </c>
      <c r="CA85" s="183">
        <v>1057</v>
      </c>
      <c r="CB85" s="167"/>
      <c r="CC85" s="183">
        <v>55</v>
      </c>
      <c r="CD85" s="183">
        <v>-2076</v>
      </c>
      <c r="CE85" s="180">
        <v>-129</v>
      </c>
      <c r="CF85" s="139">
        <v>22657</v>
      </c>
      <c r="CG85" s="216">
        <v>18239</v>
      </c>
      <c r="CH85" s="216">
        <v>1064</v>
      </c>
      <c r="CI85" s="216">
        <v>3354</v>
      </c>
      <c r="CJ85" s="212">
        <v>19.75</v>
      </c>
      <c r="CK85" s="144"/>
      <c r="CL85" s="130">
        <v>146</v>
      </c>
      <c r="CM85" s="228">
        <v>6609</v>
      </c>
      <c r="CN85" s="138"/>
      <c r="CO85" s="142">
        <v>3.3132820019249278</v>
      </c>
      <c r="CP85" s="142">
        <v>41.598709890230715</v>
      </c>
      <c r="CQ85" s="183">
        <v>-2715.6907247692538</v>
      </c>
      <c r="CR85" s="144"/>
      <c r="CS85"/>
      <c r="CU85" s="232">
        <v>59.796996090803098</v>
      </c>
      <c r="CV85" s="143">
        <v>296.56528975639281</v>
      </c>
      <c r="CW85" s="146">
        <v>13.900709219858156</v>
      </c>
      <c r="CX85" s="143">
        <v>7787.1084884248748</v>
      </c>
      <c r="CY85" s="131">
        <v>23071</v>
      </c>
      <c r="CZ85" s="229">
        <v>6927</v>
      </c>
      <c r="DA85" s="229">
        <v>47727</v>
      </c>
      <c r="DB85" s="216">
        <v>-40800</v>
      </c>
      <c r="DC85" s="229">
        <v>23300</v>
      </c>
      <c r="DD85" s="229">
        <v>24342</v>
      </c>
      <c r="DE85" s="151"/>
      <c r="DG85" s="229">
        <v>-152</v>
      </c>
      <c r="DH85" s="229">
        <v>39</v>
      </c>
      <c r="DI85" s="229">
        <v>6729</v>
      </c>
      <c r="DJ85" s="229">
        <v>5335</v>
      </c>
      <c r="DK85" s="229">
        <v>0</v>
      </c>
      <c r="DL85" s="229">
        <v>0</v>
      </c>
      <c r="DM85" s="229">
        <v>1394</v>
      </c>
      <c r="DN85" s="131">
        <v>196</v>
      </c>
      <c r="DO85" s="130">
        <v>0</v>
      </c>
      <c r="DP85" s="130">
        <v>0</v>
      </c>
      <c r="DQ85" s="130">
        <v>1590</v>
      </c>
      <c r="DR85" s="130">
        <v>13742</v>
      </c>
      <c r="DS85" s="130">
        <v>6642</v>
      </c>
      <c r="DT85" s="167"/>
      <c r="DU85" s="183">
        <v>-627</v>
      </c>
      <c r="DV85" s="183">
        <v>-1922</v>
      </c>
      <c r="DW85" s="180">
        <v>5628</v>
      </c>
      <c r="DX85" s="130">
        <v>23300</v>
      </c>
      <c r="DY85" s="229">
        <v>18994</v>
      </c>
      <c r="DZ85" s="229">
        <v>1237</v>
      </c>
      <c r="EA85" s="229">
        <v>3069</v>
      </c>
      <c r="EB85" s="212">
        <v>19.75</v>
      </c>
      <c r="EC85" s="208"/>
      <c r="ED85" s="183">
        <v>34.882352941176499</v>
      </c>
      <c r="EE85" s="3">
        <v>20270</v>
      </c>
      <c r="EF85" s="183">
        <v>20394</v>
      </c>
      <c r="EG85" s="130">
        <v>18385</v>
      </c>
      <c r="EH85" s="130"/>
      <c r="EI85" s="130"/>
      <c r="EJ85" s="130"/>
      <c r="EK85" s="183">
        <v>-1517</v>
      </c>
      <c r="EL85" s="183">
        <v>147</v>
      </c>
      <c r="EM85" s="183">
        <v>457</v>
      </c>
      <c r="EN85" s="226">
        <v>-1259</v>
      </c>
      <c r="EO85" s="226">
        <v>23</v>
      </c>
      <c r="EP85" s="226">
        <v>50</v>
      </c>
      <c r="EQ85" s="226">
        <v>-1654</v>
      </c>
      <c r="ER85" s="230">
        <v>430</v>
      </c>
      <c r="ES85" s="230">
        <v>210</v>
      </c>
      <c r="ET85" s="3">
        <v>0</v>
      </c>
      <c r="EU85" s="211">
        <v>-2000</v>
      </c>
      <c r="EV85" s="183">
        <v>0</v>
      </c>
      <c r="EW85" s="183">
        <v>3500</v>
      </c>
      <c r="EX85" s="130">
        <v>0</v>
      </c>
      <c r="EY85" s="183">
        <v>-3500</v>
      </c>
      <c r="EZ85" s="3">
        <v>20001</v>
      </c>
      <c r="FA85" s="3">
        <v>17925</v>
      </c>
      <c r="FB85" s="3">
        <v>2076</v>
      </c>
      <c r="FC85" s="3">
        <v>1</v>
      </c>
      <c r="FD85" s="226">
        <v>21425</v>
      </c>
      <c r="FE85" s="183">
        <v>16003</v>
      </c>
      <c r="FF85" s="183">
        <v>5422</v>
      </c>
      <c r="FG85" s="183">
        <v>1</v>
      </c>
      <c r="FH85" s="230">
        <v>16003</v>
      </c>
      <c r="FI85" s="130">
        <v>14378</v>
      </c>
      <c r="FJ85" s="130">
        <v>1625</v>
      </c>
      <c r="FK85" s="130">
        <v>1</v>
      </c>
      <c r="FL85" s="29">
        <v>4642.7721594289114</v>
      </c>
      <c r="FM85" s="139">
        <v>4831.4759036144578</v>
      </c>
      <c r="FN85" s="139">
        <v>3887.7288545922229</v>
      </c>
      <c r="FO85" s="172">
        <f t="shared" si="3"/>
        <v>961.72151898734182</v>
      </c>
      <c r="FP85" s="170">
        <f t="shared" si="4"/>
        <v>145.51694946093838</v>
      </c>
      <c r="FR85" s="175"/>
      <c r="FS85" s="195"/>
      <c r="FV85" s="175">
        <v>3797</v>
      </c>
      <c r="FW85" s="2">
        <f t="shared" si="5"/>
        <v>-3797</v>
      </c>
      <c r="FZ85" s="186"/>
      <c r="GA85" s="2"/>
      <c r="GB85" s="2"/>
    </row>
    <row r="86" spans="1:184" ht="13" x14ac:dyDescent="0.3">
      <c r="A86" s="77">
        <v>244</v>
      </c>
      <c r="B86" s="75" t="s">
        <v>83</v>
      </c>
      <c r="C86" s="179">
        <v>17923</v>
      </c>
      <c r="D86" s="138"/>
      <c r="E86" s="142">
        <v>1.0314128750528244</v>
      </c>
      <c r="F86" s="142">
        <v>64.95281209955759</v>
      </c>
      <c r="G86" s="183">
        <v>-3145.1765887407246</v>
      </c>
      <c r="H86" s="144"/>
      <c r="I86" s="186"/>
      <c r="K86" s="210">
        <v>47.472262057513774</v>
      </c>
      <c r="L86" s="143">
        <v>521.73185292640744</v>
      </c>
      <c r="M86" s="146">
        <v>27.153079976769902</v>
      </c>
      <c r="N86" s="143">
        <v>7013.279026948614</v>
      </c>
      <c r="O86" s="138">
        <v>45688</v>
      </c>
      <c r="P86" s="143">
        <v>14482</v>
      </c>
      <c r="Q86" s="184">
        <v>99835</v>
      </c>
      <c r="R86" s="184">
        <v>-85353</v>
      </c>
      <c r="S86" s="139">
        <v>68664</v>
      </c>
      <c r="T86" s="138">
        <v>24038</v>
      </c>
      <c r="U86" s="151"/>
      <c r="W86" s="183">
        <v>-703</v>
      </c>
      <c r="X86" s="183">
        <v>-28</v>
      </c>
      <c r="Y86" s="184">
        <v>6618</v>
      </c>
      <c r="Z86" s="130">
        <v>5144</v>
      </c>
      <c r="AA86" s="130">
        <v>0</v>
      </c>
      <c r="AB86" s="130">
        <v>0</v>
      </c>
      <c r="AC86" s="184">
        <v>1474</v>
      </c>
      <c r="AD86" s="184">
        <v>-2338</v>
      </c>
      <c r="AE86" s="183">
        <v>3000</v>
      </c>
      <c r="AF86" s="183">
        <v>0</v>
      </c>
      <c r="AG86" s="183">
        <v>2136</v>
      </c>
      <c r="AH86" s="183">
        <v>13033</v>
      </c>
      <c r="AI86" s="183">
        <v>2283</v>
      </c>
      <c r="AJ86" s="167"/>
      <c r="AK86" s="183">
        <v>446</v>
      </c>
      <c r="AL86" s="183">
        <v>-6395</v>
      </c>
      <c r="AM86" s="180">
        <v>-11561</v>
      </c>
      <c r="AN86" s="139">
        <v>68664</v>
      </c>
      <c r="AO86" s="138">
        <v>61290</v>
      </c>
      <c r="AP86" s="184">
        <v>3686</v>
      </c>
      <c r="AQ86" s="138">
        <v>3688</v>
      </c>
      <c r="AR86" s="109">
        <v>20.5</v>
      </c>
      <c r="AS86" s="144"/>
      <c r="AT86" s="139">
        <v>86</v>
      </c>
      <c r="AU86" s="228">
        <v>18355</v>
      </c>
      <c r="AV86" s="138"/>
      <c r="AW86" s="224">
        <v>0.24869659948642128</v>
      </c>
      <c r="AX86" s="225">
        <v>71.96893924239393</v>
      </c>
      <c r="AY86" s="139">
        <v>-3845.1648052301825</v>
      </c>
      <c r="AZ86" s="144"/>
      <c r="BA86"/>
      <c r="BC86" s="189">
        <v>42.820557214791727</v>
      </c>
      <c r="BD86" s="183">
        <v>271.26123672023971</v>
      </c>
      <c r="BE86" s="140">
        <v>13.829082137367404</v>
      </c>
      <c r="BF86" s="139">
        <v>7159.5750476709345</v>
      </c>
      <c r="BG86" s="184">
        <v>48110</v>
      </c>
      <c r="BH86" s="216">
        <v>14103</v>
      </c>
      <c r="BI86" s="216">
        <v>107818</v>
      </c>
      <c r="BJ86" s="216">
        <v>-93476</v>
      </c>
      <c r="BK86" s="216">
        <v>71267</v>
      </c>
      <c r="BL86" s="216">
        <v>24608</v>
      </c>
      <c r="BM86" s="151"/>
      <c r="BO86" s="216">
        <v>-695</v>
      </c>
      <c r="BP86" s="216">
        <v>-3</v>
      </c>
      <c r="BQ86" s="216">
        <v>1701</v>
      </c>
      <c r="BR86" s="216">
        <v>5241</v>
      </c>
      <c r="BS86" s="216">
        <v>0</v>
      </c>
      <c r="BT86" s="216">
        <v>0</v>
      </c>
      <c r="BU86" s="216">
        <v>-3540</v>
      </c>
      <c r="BV86" s="184">
        <v>729</v>
      </c>
      <c r="BW86" s="183">
        <v>0</v>
      </c>
      <c r="BX86" s="183">
        <v>0</v>
      </c>
      <c r="BY86" s="183">
        <v>-2811</v>
      </c>
      <c r="BZ86" s="183">
        <v>10222</v>
      </c>
      <c r="CA86" s="183">
        <v>-2406</v>
      </c>
      <c r="CB86" s="167"/>
      <c r="CC86" s="183">
        <v>128</v>
      </c>
      <c r="CD86" s="183">
        <v>-6245</v>
      </c>
      <c r="CE86" s="180">
        <v>-14208</v>
      </c>
      <c r="CF86" s="139">
        <v>71267</v>
      </c>
      <c r="CG86" s="216">
        <v>63456</v>
      </c>
      <c r="CH86" s="216">
        <v>3972</v>
      </c>
      <c r="CI86" s="216">
        <v>3839</v>
      </c>
      <c r="CJ86" s="212">
        <v>20.5</v>
      </c>
      <c r="CK86" s="144"/>
      <c r="CL86" s="130">
        <v>185</v>
      </c>
      <c r="CM86" s="228">
        <v>18796</v>
      </c>
      <c r="CN86" s="138"/>
      <c r="CO86" s="142">
        <v>1.02021914949126</v>
      </c>
      <c r="CP86" s="142">
        <v>65.547344989945969</v>
      </c>
      <c r="CQ86" s="183">
        <v>-3751.1172589912749</v>
      </c>
      <c r="CR86" s="144"/>
      <c r="CS86"/>
      <c r="CU86" s="232">
        <v>42.975034325107288</v>
      </c>
      <c r="CV86" s="143">
        <v>277.66546073632685</v>
      </c>
      <c r="CW86" s="146">
        <v>14.70697002918333</v>
      </c>
      <c r="CX86" s="143">
        <v>6891.1470525643754</v>
      </c>
      <c r="CY86" s="131">
        <v>48837</v>
      </c>
      <c r="CZ86" s="229">
        <v>13133</v>
      </c>
      <c r="DA86" s="229">
        <v>113256</v>
      </c>
      <c r="DB86" s="216">
        <v>-100123</v>
      </c>
      <c r="DC86" s="229">
        <v>74742</v>
      </c>
      <c r="DD86" s="229">
        <v>33123</v>
      </c>
      <c r="DE86" s="151"/>
      <c r="DG86" s="229">
        <v>-624</v>
      </c>
      <c r="DH86" s="229">
        <v>32</v>
      </c>
      <c r="DI86" s="229">
        <v>7150</v>
      </c>
      <c r="DJ86" s="229">
        <v>6724</v>
      </c>
      <c r="DK86" s="229">
        <v>0</v>
      </c>
      <c r="DL86" s="229">
        <v>0</v>
      </c>
      <c r="DM86" s="229">
        <v>426</v>
      </c>
      <c r="DN86" s="131">
        <v>728</v>
      </c>
      <c r="DO86" s="130">
        <v>0</v>
      </c>
      <c r="DP86" s="130">
        <v>0</v>
      </c>
      <c r="DQ86" s="130">
        <v>1154</v>
      </c>
      <c r="DR86" s="130">
        <v>11376</v>
      </c>
      <c r="DS86" s="130">
        <v>4455</v>
      </c>
      <c r="DT86" s="167"/>
      <c r="DU86" s="183">
        <v>153</v>
      </c>
      <c r="DV86" s="183">
        <v>-6995</v>
      </c>
      <c r="DW86" s="180">
        <v>-71</v>
      </c>
      <c r="DX86" s="130">
        <v>74742</v>
      </c>
      <c r="DY86" s="229">
        <v>67226</v>
      </c>
      <c r="DZ86" s="229">
        <v>3917</v>
      </c>
      <c r="EA86" s="229">
        <v>3599</v>
      </c>
      <c r="EB86" s="212">
        <v>20.5</v>
      </c>
      <c r="EC86" s="208"/>
      <c r="ED86" s="183">
        <v>263.55147058823502</v>
      </c>
      <c r="EE86" s="3">
        <v>40815</v>
      </c>
      <c r="EF86" s="183">
        <v>44474</v>
      </c>
      <c r="EG86" s="130">
        <v>45304</v>
      </c>
      <c r="EH86" s="130"/>
      <c r="EI86" s="130"/>
      <c r="EJ86" s="130"/>
      <c r="EK86" s="183">
        <v>-18916</v>
      </c>
      <c r="EL86" s="183">
        <v>175</v>
      </c>
      <c r="EM86" s="183">
        <v>4897</v>
      </c>
      <c r="EN86" s="226">
        <v>-16861</v>
      </c>
      <c r="EO86" s="226">
        <v>492</v>
      </c>
      <c r="EP86" s="226">
        <v>4567</v>
      </c>
      <c r="EQ86" s="226">
        <v>-8706</v>
      </c>
      <c r="ER86" s="230">
        <v>497</v>
      </c>
      <c r="ES86" s="230">
        <v>3683</v>
      </c>
      <c r="ET86" s="3">
        <v>18000</v>
      </c>
      <c r="EU86" s="211">
        <v>0</v>
      </c>
      <c r="EV86" s="183">
        <v>15000</v>
      </c>
      <c r="EW86" s="183">
        <v>0</v>
      </c>
      <c r="EX86" s="130">
        <v>6500</v>
      </c>
      <c r="EY86" s="183">
        <v>0</v>
      </c>
      <c r="EZ86" s="3">
        <v>56563</v>
      </c>
      <c r="FA86" s="3">
        <v>50318</v>
      </c>
      <c r="FB86" s="3">
        <v>6245</v>
      </c>
      <c r="FC86" s="3">
        <v>0</v>
      </c>
      <c r="FD86" s="226">
        <v>65317</v>
      </c>
      <c r="FE86" s="183">
        <v>58322</v>
      </c>
      <c r="FF86" s="183">
        <v>6995</v>
      </c>
      <c r="FG86" s="183">
        <v>0</v>
      </c>
      <c r="FH86" s="230">
        <v>64822</v>
      </c>
      <c r="FI86" s="130">
        <v>57485</v>
      </c>
      <c r="FJ86" s="130">
        <v>7337</v>
      </c>
      <c r="FK86" s="130">
        <v>0</v>
      </c>
      <c r="FL86" s="29">
        <v>3966.5234614740834</v>
      </c>
      <c r="FM86" s="139">
        <v>4385.3445927540179</v>
      </c>
      <c r="FN86" s="139">
        <v>4413.2262183443281</v>
      </c>
      <c r="FO86" s="172">
        <f t="shared" si="3"/>
        <v>3279.3170731707319</v>
      </c>
      <c r="FP86" s="170">
        <f t="shared" si="4"/>
        <v>174.46888024956013</v>
      </c>
      <c r="FR86" s="175"/>
      <c r="FS86" s="195"/>
      <c r="FV86" s="175">
        <v>2648</v>
      </c>
      <c r="FW86" s="2">
        <f t="shared" si="5"/>
        <v>-2648</v>
      </c>
      <c r="FZ86" s="186"/>
      <c r="GA86" s="2"/>
      <c r="GB86" s="2"/>
    </row>
    <row r="87" spans="1:184" ht="13" x14ac:dyDescent="0.3">
      <c r="A87" s="77">
        <v>245</v>
      </c>
      <c r="B87" s="75" t="s">
        <v>84</v>
      </c>
      <c r="C87" s="179">
        <v>36254</v>
      </c>
      <c r="D87" s="138"/>
      <c r="E87" s="142">
        <v>1.5559239610963749</v>
      </c>
      <c r="F87" s="142">
        <v>36.560532074498077</v>
      </c>
      <c r="G87" s="183">
        <v>-1753.4341038230264</v>
      </c>
      <c r="H87" s="144"/>
      <c r="I87" s="186"/>
      <c r="K87" s="210">
        <v>78.146502131883508</v>
      </c>
      <c r="L87" s="143">
        <v>154.96221106636509</v>
      </c>
      <c r="M87" s="146">
        <v>8.90305745868827</v>
      </c>
      <c r="N87" s="143">
        <v>6353.0093231091741</v>
      </c>
      <c r="O87" s="138">
        <v>81011</v>
      </c>
      <c r="P87" s="143">
        <v>35059</v>
      </c>
      <c r="Q87" s="184">
        <v>196370</v>
      </c>
      <c r="R87" s="184">
        <v>-161311</v>
      </c>
      <c r="S87" s="139">
        <v>152531</v>
      </c>
      <c r="T87" s="138">
        <v>21827</v>
      </c>
      <c r="U87" s="151"/>
      <c r="W87" s="183">
        <v>-25</v>
      </c>
      <c r="X87" s="183">
        <v>895</v>
      </c>
      <c r="Y87" s="184">
        <v>13917</v>
      </c>
      <c r="Z87" s="130">
        <v>13995</v>
      </c>
      <c r="AA87" s="130">
        <v>0</v>
      </c>
      <c r="AB87" s="130">
        <v>0</v>
      </c>
      <c r="AC87" s="184">
        <v>-78</v>
      </c>
      <c r="AD87" s="183">
        <v>0</v>
      </c>
      <c r="AE87" s="183">
        <v>0</v>
      </c>
      <c r="AF87" s="184">
        <v>3</v>
      </c>
      <c r="AG87" s="183">
        <v>-75</v>
      </c>
      <c r="AH87" s="183">
        <v>99893</v>
      </c>
      <c r="AI87" s="183">
        <v>10288</v>
      </c>
      <c r="AJ87" s="167"/>
      <c r="AK87" s="183">
        <v>-1448</v>
      </c>
      <c r="AL87" s="183">
        <v>-8887</v>
      </c>
      <c r="AM87" s="180">
        <v>-10921</v>
      </c>
      <c r="AN87" s="139">
        <v>152531</v>
      </c>
      <c r="AO87" s="138">
        <v>132745</v>
      </c>
      <c r="AP87" s="184">
        <v>9562</v>
      </c>
      <c r="AQ87" s="138">
        <v>10224</v>
      </c>
      <c r="AR87" s="109">
        <v>19.25</v>
      </c>
      <c r="AS87" s="144"/>
      <c r="AT87" s="139">
        <v>75</v>
      </c>
      <c r="AU87" s="228">
        <v>36756</v>
      </c>
      <c r="AV87" s="138"/>
      <c r="AW87" s="224">
        <v>1.1081386641608058</v>
      </c>
      <c r="AX87" s="225">
        <v>39.610910641497668</v>
      </c>
      <c r="AY87" s="139">
        <v>-2048.4274676243335</v>
      </c>
      <c r="AZ87" s="144"/>
      <c r="BA87"/>
      <c r="BC87" s="189">
        <v>76.127332553538054</v>
      </c>
      <c r="BD87" s="183">
        <v>111.62803351833713</v>
      </c>
      <c r="BE87" s="140">
        <v>5.8465775778941165</v>
      </c>
      <c r="BF87" s="139">
        <v>6968.9030362389813</v>
      </c>
      <c r="BG87" s="184">
        <v>85846</v>
      </c>
      <c r="BH87" s="216">
        <v>37419</v>
      </c>
      <c r="BI87" s="216">
        <v>209851</v>
      </c>
      <c r="BJ87" s="216">
        <v>-172241</v>
      </c>
      <c r="BK87" s="216">
        <v>157421</v>
      </c>
      <c r="BL87" s="216">
        <v>23259</v>
      </c>
      <c r="BM87" s="151"/>
      <c r="BO87" s="216">
        <v>-64</v>
      </c>
      <c r="BP87" s="216">
        <v>848</v>
      </c>
      <c r="BQ87" s="216">
        <v>9223</v>
      </c>
      <c r="BR87" s="216">
        <v>21953</v>
      </c>
      <c r="BS87" s="216">
        <v>14166</v>
      </c>
      <c r="BT87" s="216">
        <v>0</v>
      </c>
      <c r="BU87" s="216">
        <v>1436</v>
      </c>
      <c r="BV87" s="183">
        <v>0</v>
      </c>
      <c r="BW87" s="183">
        <v>0</v>
      </c>
      <c r="BX87" s="184">
        <v>0</v>
      </c>
      <c r="BY87" s="183">
        <v>1436</v>
      </c>
      <c r="BZ87" s="183">
        <v>101329</v>
      </c>
      <c r="CA87" s="183">
        <v>19031</v>
      </c>
      <c r="CB87" s="167"/>
      <c r="CC87" s="183">
        <v>337</v>
      </c>
      <c r="CD87" s="183">
        <v>-7887</v>
      </c>
      <c r="CE87" s="180">
        <v>-13365</v>
      </c>
      <c r="CF87" s="139">
        <v>157421</v>
      </c>
      <c r="CG87" s="216">
        <v>138903</v>
      </c>
      <c r="CH87" s="216">
        <v>7956</v>
      </c>
      <c r="CI87" s="216">
        <v>10562</v>
      </c>
      <c r="CJ87" s="212">
        <v>19.25</v>
      </c>
      <c r="CK87" s="144"/>
      <c r="CL87" s="130">
        <v>110</v>
      </c>
      <c r="CM87" s="228">
        <v>37105</v>
      </c>
      <c r="CN87" s="138"/>
      <c r="CO87" s="142">
        <v>1.8990448689471346</v>
      </c>
      <c r="CP87" s="142">
        <v>44.117497822391734</v>
      </c>
      <c r="CQ87" s="183">
        <v>-2525.0235817275302</v>
      </c>
      <c r="CR87" s="144"/>
      <c r="CS87"/>
      <c r="CU87" s="232">
        <v>72.799197970120247</v>
      </c>
      <c r="CV87" s="143">
        <v>124.45762026681041</v>
      </c>
      <c r="CW87" s="146">
        <v>6.2763956999817543</v>
      </c>
      <c r="CX87" s="143">
        <v>7237.7577145937203</v>
      </c>
      <c r="CY87" s="131">
        <v>89030</v>
      </c>
      <c r="CZ87" s="229">
        <v>33534</v>
      </c>
      <c r="DA87" s="229">
        <v>220490</v>
      </c>
      <c r="DB87" s="216">
        <v>-186956</v>
      </c>
      <c r="DC87" s="229">
        <v>162985</v>
      </c>
      <c r="DD87" s="229">
        <v>40154</v>
      </c>
      <c r="DE87" s="151"/>
      <c r="DG87" s="229">
        <v>-168</v>
      </c>
      <c r="DH87" s="229">
        <v>842</v>
      </c>
      <c r="DI87" s="229">
        <v>16857</v>
      </c>
      <c r="DJ87" s="229">
        <v>16399</v>
      </c>
      <c r="DK87" s="229">
        <v>2733</v>
      </c>
      <c r="DL87" s="229">
        <v>0</v>
      </c>
      <c r="DM87" s="229">
        <v>3191</v>
      </c>
      <c r="DN87" s="130">
        <v>0</v>
      </c>
      <c r="DO87" s="130">
        <v>0</v>
      </c>
      <c r="DP87" s="131">
        <v>0</v>
      </c>
      <c r="DQ87" s="130">
        <v>3191</v>
      </c>
      <c r="DR87" s="130">
        <v>104519</v>
      </c>
      <c r="DS87" s="130">
        <v>12664</v>
      </c>
      <c r="DT87" s="167"/>
      <c r="DU87" s="183">
        <v>969</v>
      </c>
      <c r="DV87" s="183">
        <v>-8762</v>
      </c>
      <c r="DW87" s="180">
        <v>-18449</v>
      </c>
      <c r="DX87" s="130">
        <v>162985</v>
      </c>
      <c r="DY87" s="229">
        <v>145530</v>
      </c>
      <c r="DZ87" s="229">
        <v>7538</v>
      </c>
      <c r="EA87" s="229">
        <v>9917</v>
      </c>
      <c r="EB87" s="212">
        <v>19.25</v>
      </c>
      <c r="EC87" s="208"/>
      <c r="ED87" s="183">
        <v>242.39705882352899</v>
      </c>
      <c r="EE87" s="3">
        <v>85800</v>
      </c>
      <c r="EF87" s="183">
        <v>94665</v>
      </c>
      <c r="EG87" s="130">
        <v>101606</v>
      </c>
      <c r="EH87" s="130"/>
      <c r="EI87" s="130"/>
      <c r="EJ87" s="130"/>
      <c r="EK87" s="183">
        <v>-24914</v>
      </c>
      <c r="EL87" s="183">
        <v>29</v>
      </c>
      <c r="EM87" s="183">
        <v>3676</v>
      </c>
      <c r="EN87" s="226">
        <v>-38192</v>
      </c>
      <c r="EO87" s="226">
        <v>215</v>
      </c>
      <c r="EP87" s="226">
        <v>5581</v>
      </c>
      <c r="EQ87" s="226">
        <v>-39072</v>
      </c>
      <c r="ER87" s="230">
        <v>97</v>
      </c>
      <c r="ES87" s="230">
        <v>7862</v>
      </c>
      <c r="ET87" s="3">
        <v>15000</v>
      </c>
      <c r="EU87" s="211">
        <v>0</v>
      </c>
      <c r="EV87" s="183">
        <v>15000</v>
      </c>
      <c r="EW87" s="183">
        <v>0</v>
      </c>
      <c r="EX87" s="130">
        <v>20000</v>
      </c>
      <c r="EY87" s="183">
        <v>5000</v>
      </c>
      <c r="EZ87" s="3">
        <v>46655</v>
      </c>
      <c r="FA87" s="3">
        <v>29143</v>
      </c>
      <c r="FB87" s="3">
        <v>17512</v>
      </c>
      <c r="FC87" s="3">
        <v>5918</v>
      </c>
      <c r="FD87" s="226">
        <v>53768</v>
      </c>
      <c r="FE87" s="183">
        <v>36006</v>
      </c>
      <c r="FF87" s="183">
        <v>17762</v>
      </c>
      <c r="FG87" s="183">
        <v>5925</v>
      </c>
      <c r="FH87" s="230">
        <v>70006</v>
      </c>
      <c r="FI87" s="130">
        <v>45244</v>
      </c>
      <c r="FJ87" s="130">
        <v>24762</v>
      </c>
      <c r="FK87" s="130">
        <v>5938</v>
      </c>
      <c r="FL87" s="29">
        <v>4959.866497489932</v>
      </c>
      <c r="FM87" s="139">
        <v>5208.020459244749</v>
      </c>
      <c r="FN87" s="139">
        <v>5548.6592103490102</v>
      </c>
      <c r="FO87" s="172">
        <f t="shared" si="3"/>
        <v>7560</v>
      </c>
      <c r="FP87" s="170">
        <f t="shared" si="4"/>
        <v>203.74612585904865</v>
      </c>
      <c r="FR87" s="175"/>
      <c r="FS87" s="195"/>
      <c r="FV87" s="175">
        <v>16684</v>
      </c>
      <c r="FW87" s="2">
        <f t="shared" si="5"/>
        <v>-16684</v>
      </c>
      <c r="FZ87" s="186"/>
      <c r="GA87" s="2"/>
      <c r="GB87" s="2"/>
    </row>
    <row r="88" spans="1:184" ht="13" x14ac:dyDescent="0.3">
      <c r="A88" s="77">
        <v>249</v>
      </c>
      <c r="B88" s="75" t="s">
        <v>85</v>
      </c>
      <c r="C88" s="179">
        <v>9762</v>
      </c>
      <c r="D88" s="138"/>
      <c r="E88" s="142">
        <v>1.8097281831187411</v>
      </c>
      <c r="F88" s="142">
        <v>82.037726073850791</v>
      </c>
      <c r="G88" s="183">
        <v>-6413.6447449293182</v>
      </c>
      <c r="H88" s="144"/>
      <c r="I88" s="186"/>
      <c r="K88" s="210">
        <v>39.924140357501436</v>
      </c>
      <c r="L88" s="143">
        <v>374.1036672812948</v>
      </c>
      <c r="M88" s="146">
        <v>15.171118673389254</v>
      </c>
      <c r="N88" s="143">
        <v>9000.5121901249749</v>
      </c>
      <c r="O88" s="138">
        <v>36628</v>
      </c>
      <c r="P88" s="143">
        <v>23334</v>
      </c>
      <c r="Q88" s="184">
        <v>80122</v>
      </c>
      <c r="R88" s="184">
        <v>-56788</v>
      </c>
      <c r="S88" s="139">
        <v>34273</v>
      </c>
      <c r="T88" s="138">
        <v>27327</v>
      </c>
      <c r="U88" s="151"/>
      <c r="W88" s="183">
        <v>-28</v>
      </c>
      <c r="X88" s="183">
        <v>244</v>
      </c>
      <c r="Y88" s="184">
        <v>5028</v>
      </c>
      <c r="Z88" s="130">
        <v>4903</v>
      </c>
      <c r="AA88" s="130">
        <v>0</v>
      </c>
      <c r="AB88" s="130">
        <v>0</v>
      </c>
      <c r="AC88" s="184">
        <v>125</v>
      </c>
      <c r="AD88" s="184">
        <v>0</v>
      </c>
      <c r="AE88" s="183">
        <v>0</v>
      </c>
      <c r="AF88" s="183">
        <v>0</v>
      </c>
      <c r="AG88" s="183">
        <v>125</v>
      </c>
      <c r="AH88" s="183">
        <v>9078</v>
      </c>
      <c r="AI88" s="183">
        <v>4458</v>
      </c>
      <c r="AJ88" s="167"/>
      <c r="AK88" s="183">
        <v>-478</v>
      </c>
      <c r="AL88" s="183">
        <v>-2764</v>
      </c>
      <c r="AM88" s="180">
        <v>666</v>
      </c>
      <c r="AN88" s="139">
        <v>34273</v>
      </c>
      <c r="AO88" s="138">
        <v>29644</v>
      </c>
      <c r="AP88" s="184">
        <v>2473</v>
      </c>
      <c r="AQ88" s="138">
        <v>2156</v>
      </c>
      <c r="AR88" s="109">
        <v>21.5</v>
      </c>
      <c r="AS88" s="144"/>
      <c r="AT88" s="139">
        <v>42</v>
      </c>
      <c r="AU88" s="228">
        <v>9605</v>
      </c>
      <c r="AV88" s="138"/>
      <c r="AW88" s="224">
        <v>0.240651633801931</v>
      </c>
      <c r="AX88" s="225">
        <v>86.235768929582562</v>
      </c>
      <c r="AY88" s="139">
        <v>-6960.5413846954707</v>
      </c>
      <c r="AZ88" s="144"/>
      <c r="BA88"/>
      <c r="BC88" s="189">
        <v>37.626536436421674</v>
      </c>
      <c r="BD88" s="183">
        <v>102.65486725663716</v>
      </c>
      <c r="BE88" s="140">
        <v>3.9839486356340288</v>
      </c>
      <c r="BF88" s="139">
        <v>9404.9973971889649</v>
      </c>
      <c r="BG88" s="184">
        <v>36677</v>
      </c>
      <c r="BH88" s="216">
        <v>21776</v>
      </c>
      <c r="BI88" s="216">
        <v>81405</v>
      </c>
      <c r="BJ88" s="216">
        <v>-59628</v>
      </c>
      <c r="BK88" s="216">
        <v>33713</v>
      </c>
      <c r="BL88" s="216">
        <v>27516</v>
      </c>
      <c r="BM88" s="151"/>
      <c r="BO88" s="216">
        <v>-28</v>
      </c>
      <c r="BP88" s="216">
        <v>308</v>
      </c>
      <c r="BQ88" s="216">
        <v>1881</v>
      </c>
      <c r="BR88" s="216">
        <v>5031</v>
      </c>
      <c r="BS88" s="216">
        <v>0</v>
      </c>
      <c r="BT88" s="216">
        <v>0</v>
      </c>
      <c r="BU88" s="216">
        <v>-3150</v>
      </c>
      <c r="BV88" s="184">
        <v>0</v>
      </c>
      <c r="BW88" s="183">
        <v>0</v>
      </c>
      <c r="BX88" s="183">
        <v>0</v>
      </c>
      <c r="BY88" s="183">
        <v>-3150</v>
      </c>
      <c r="BZ88" s="183">
        <v>5931</v>
      </c>
      <c r="CA88" s="183">
        <v>2067</v>
      </c>
      <c r="CB88" s="167"/>
      <c r="CC88" s="183">
        <v>-326</v>
      </c>
      <c r="CD88" s="183">
        <v>-2415</v>
      </c>
      <c r="CE88" s="180">
        <v>-4236</v>
      </c>
      <c r="CF88" s="139">
        <v>33713</v>
      </c>
      <c r="CG88" s="216">
        <v>28636</v>
      </c>
      <c r="CH88" s="216">
        <v>2666</v>
      </c>
      <c r="CI88" s="216">
        <v>2411</v>
      </c>
      <c r="CJ88" s="212">
        <v>21.5</v>
      </c>
      <c r="CK88" s="144"/>
      <c r="CL88" s="130">
        <v>131</v>
      </c>
      <c r="CM88" s="228">
        <v>9486</v>
      </c>
      <c r="CN88" s="138"/>
      <c r="CO88" s="142">
        <v>2.9847233691164328</v>
      </c>
      <c r="CP88" s="142">
        <v>81.523370804542381</v>
      </c>
      <c r="CQ88" s="183">
        <v>-6912.0809614168247</v>
      </c>
      <c r="CR88" s="144"/>
      <c r="CS88"/>
      <c r="CU88" s="232">
        <v>38.992550064930626</v>
      </c>
      <c r="CV88" s="143">
        <v>199.13556820577693</v>
      </c>
      <c r="CW88" s="146">
        <v>7.7769944843610768</v>
      </c>
      <c r="CX88" s="143">
        <v>9346.0889732236974</v>
      </c>
      <c r="CY88" s="131">
        <v>36171</v>
      </c>
      <c r="CZ88" s="229">
        <v>20789</v>
      </c>
      <c r="DA88" s="229">
        <v>80197</v>
      </c>
      <c r="DB88" s="216">
        <v>-59408</v>
      </c>
      <c r="DC88" s="229">
        <v>35431</v>
      </c>
      <c r="DD88" s="229">
        <v>31047</v>
      </c>
      <c r="DE88" s="151"/>
      <c r="DG88" s="229">
        <v>8</v>
      </c>
      <c r="DH88" s="229">
        <v>154</v>
      </c>
      <c r="DI88" s="229">
        <v>7232</v>
      </c>
      <c r="DJ88" s="229">
        <v>4970</v>
      </c>
      <c r="DK88" s="229">
        <v>0</v>
      </c>
      <c r="DL88" s="229">
        <v>0</v>
      </c>
      <c r="DM88" s="229">
        <v>2262</v>
      </c>
      <c r="DN88" s="131">
        <v>0</v>
      </c>
      <c r="DO88" s="130">
        <v>0</v>
      </c>
      <c r="DP88" s="130">
        <v>0</v>
      </c>
      <c r="DQ88" s="130">
        <v>2262</v>
      </c>
      <c r="DR88" s="130">
        <v>8194</v>
      </c>
      <c r="DS88" s="130">
        <v>7125</v>
      </c>
      <c r="DT88" s="167"/>
      <c r="DU88" s="183">
        <v>52</v>
      </c>
      <c r="DV88" s="183">
        <v>-2425</v>
      </c>
      <c r="DW88" s="180">
        <v>1347</v>
      </c>
      <c r="DX88" s="130">
        <v>35431</v>
      </c>
      <c r="DY88" s="229">
        <v>30187</v>
      </c>
      <c r="DZ88" s="229">
        <v>3056</v>
      </c>
      <c r="EA88" s="229">
        <v>2188</v>
      </c>
      <c r="EB88" s="212">
        <v>21.5</v>
      </c>
      <c r="EC88" s="208"/>
      <c r="ED88" s="183">
        <v>99.352941176470594</v>
      </c>
      <c r="EE88" s="3">
        <v>33260</v>
      </c>
      <c r="EF88" s="183">
        <v>33709</v>
      </c>
      <c r="EG88" s="130">
        <v>33764</v>
      </c>
      <c r="EH88" s="130"/>
      <c r="EI88" s="130"/>
      <c r="EJ88" s="130"/>
      <c r="EK88" s="183">
        <v>-4872</v>
      </c>
      <c r="EL88" s="183">
        <v>36</v>
      </c>
      <c r="EM88" s="183">
        <v>1044</v>
      </c>
      <c r="EN88" s="226">
        <v>-6471</v>
      </c>
      <c r="EO88" s="226">
        <v>0</v>
      </c>
      <c r="EP88" s="226">
        <v>168</v>
      </c>
      <c r="EQ88" s="226">
        <v>-6021</v>
      </c>
      <c r="ER88" s="230">
        <v>0</v>
      </c>
      <c r="ES88" s="230">
        <v>243</v>
      </c>
      <c r="ET88" s="3">
        <v>500</v>
      </c>
      <c r="EU88" s="211">
        <v>1000</v>
      </c>
      <c r="EV88" s="183">
        <v>1800</v>
      </c>
      <c r="EW88" s="183">
        <v>4500</v>
      </c>
      <c r="EX88" s="130">
        <v>5000</v>
      </c>
      <c r="EY88" s="183">
        <v>-3500</v>
      </c>
      <c r="EZ88" s="3">
        <v>54798</v>
      </c>
      <c r="FA88" s="3">
        <v>15928</v>
      </c>
      <c r="FB88" s="3">
        <v>38870</v>
      </c>
      <c r="FC88" s="3">
        <v>0</v>
      </c>
      <c r="FD88" s="226">
        <v>58683</v>
      </c>
      <c r="FE88" s="183">
        <v>15133</v>
      </c>
      <c r="FF88" s="183">
        <v>43550</v>
      </c>
      <c r="FG88" s="183">
        <v>0</v>
      </c>
      <c r="FH88" s="230">
        <v>57758</v>
      </c>
      <c r="FI88" s="130">
        <v>17240</v>
      </c>
      <c r="FJ88" s="130">
        <v>40518</v>
      </c>
      <c r="FK88" s="130">
        <v>0</v>
      </c>
      <c r="FL88" s="29">
        <v>10472.546609301373</v>
      </c>
      <c r="FM88" s="139">
        <v>11468.610098906818</v>
      </c>
      <c r="FN88" s="139">
        <v>11664.663714948345</v>
      </c>
      <c r="FO88" s="172">
        <f t="shared" si="3"/>
        <v>1404.046511627907</v>
      </c>
      <c r="FP88" s="170">
        <f t="shared" si="4"/>
        <v>148.01249331940826</v>
      </c>
      <c r="FR88" s="175"/>
      <c r="FS88" s="195"/>
      <c r="FV88" s="175">
        <v>2835</v>
      </c>
      <c r="FW88" s="2">
        <f t="shared" si="5"/>
        <v>-2835</v>
      </c>
      <c r="FZ88" s="186"/>
      <c r="GA88" s="2"/>
      <c r="GB88" s="2"/>
    </row>
    <row r="89" spans="1:184" ht="13" x14ac:dyDescent="0.3">
      <c r="A89" s="77">
        <v>250</v>
      </c>
      <c r="B89" s="75" t="s">
        <v>86</v>
      </c>
      <c r="C89" s="179">
        <v>1910</v>
      </c>
      <c r="D89" s="138"/>
      <c r="E89" s="142">
        <v>1.0292249047013977</v>
      </c>
      <c r="F89" s="142">
        <v>69.754787647516082</v>
      </c>
      <c r="G89" s="183">
        <v>-3756.5445026178008</v>
      </c>
      <c r="H89" s="144"/>
      <c r="I89" s="186"/>
      <c r="K89" s="210">
        <v>38.823815014869211</v>
      </c>
      <c r="L89" s="143">
        <v>1165.4450261780105</v>
      </c>
      <c r="M89" s="146">
        <v>54.746310895492215</v>
      </c>
      <c r="N89" s="143">
        <v>7770.1570680628274</v>
      </c>
      <c r="O89" s="138">
        <v>2959</v>
      </c>
      <c r="P89" s="143">
        <v>1678</v>
      </c>
      <c r="Q89" s="184">
        <v>13472</v>
      </c>
      <c r="R89" s="184">
        <v>-11794</v>
      </c>
      <c r="S89" s="139">
        <v>5778</v>
      </c>
      <c r="T89" s="138">
        <v>6695</v>
      </c>
      <c r="U89" s="151"/>
      <c r="W89" s="183">
        <v>-128</v>
      </c>
      <c r="X89" s="183">
        <v>130</v>
      </c>
      <c r="Y89" s="184">
        <v>681</v>
      </c>
      <c r="Z89" s="130">
        <v>611</v>
      </c>
      <c r="AA89" s="130">
        <v>0</v>
      </c>
      <c r="AB89" s="130">
        <v>0</v>
      </c>
      <c r="AC89" s="184">
        <v>70</v>
      </c>
      <c r="AD89" s="183">
        <v>91</v>
      </c>
      <c r="AE89" s="183">
        <v>0</v>
      </c>
      <c r="AF89" s="183">
        <v>0</v>
      </c>
      <c r="AG89" s="183">
        <v>161</v>
      </c>
      <c r="AH89" s="183">
        <v>-1006</v>
      </c>
      <c r="AI89" s="183">
        <v>343</v>
      </c>
      <c r="AJ89" s="167"/>
      <c r="AK89" s="183">
        <v>665</v>
      </c>
      <c r="AL89" s="183">
        <v>-658</v>
      </c>
      <c r="AM89" s="180">
        <v>211</v>
      </c>
      <c r="AN89" s="139">
        <v>5778</v>
      </c>
      <c r="AO89" s="138">
        <v>4554</v>
      </c>
      <c r="AP89" s="184">
        <v>664</v>
      </c>
      <c r="AQ89" s="138">
        <v>560</v>
      </c>
      <c r="AR89" s="109">
        <v>21.5</v>
      </c>
      <c r="AS89" s="144"/>
      <c r="AT89" s="139">
        <v>92</v>
      </c>
      <c r="AU89" s="228">
        <v>1865</v>
      </c>
      <c r="AV89" s="138"/>
      <c r="AW89" s="224">
        <v>0.36405675249605884</v>
      </c>
      <c r="AX89" s="225">
        <v>66.313225390457092</v>
      </c>
      <c r="AY89" s="139">
        <v>-4110.4557640750672</v>
      </c>
      <c r="AZ89" s="144"/>
      <c r="BA89"/>
      <c r="BC89" s="189">
        <v>39.243513999486254</v>
      </c>
      <c r="BD89" s="183">
        <v>552.27882037533516</v>
      </c>
      <c r="BE89" s="140">
        <v>24.875934625818832</v>
      </c>
      <c r="BF89" s="139">
        <v>8103.4852546916891</v>
      </c>
      <c r="BG89" s="184">
        <v>3010</v>
      </c>
      <c r="BH89" s="216">
        <v>1352</v>
      </c>
      <c r="BI89" s="216">
        <v>13506</v>
      </c>
      <c r="BJ89" s="216">
        <v>-12154</v>
      </c>
      <c r="BK89" s="216">
        <v>5717</v>
      </c>
      <c r="BL89" s="216">
        <v>6889</v>
      </c>
      <c r="BM89" s="151"/>
      <c r="BO89" s="216">
        <v>-118</v>
      </c>
      <c r="BP89" s="216">
        <v>-21</v>
      </c>
      <c r="BQ89" s="216">
        <v>313</v>
      </c>
      <c r="BR89" s="216">
        <v>599</v>
      </c>
      <c r="BS89" s="216">
        <v>0</v>
      </c>
      <c r="BT89" s="216">
        <v>0</v>
      </c>
      <c r="BU89" s="216">
        <v>-286</v>
      </c>
      <c r="BV89" s="183">
        <v>85</v>
      </c>
      <c r="BW89" s="183">
        <v>0</v>
      </c>
      <c r="BX89" s="183">
        <v>0</v>
      </c>
      <c r="BY89" s="183">
        <v>-201</v>
      </c>
      <c r="BZ89" s="183">
        <v>-1207</v>
      </c>
      <c r="CA89" s="183">
        <v>315</v>
      </c>
      <c r="CB89" s="167"/>
      <c r="CC89" s="183">
        <v>-90</v>
      </c>
      <c r="CD89" s="183">
        <v>-659</v>
      </c>
      <c r="CE89" s="180">
        <v>-479</v>
      </c>
      <c r="CF89" s="139">
        <v>5717</v>
      </c>
      <c r="CG89" s="216">
        <v>4493</v>
      </c>
      <c r="CH89" s="216">
        <v>682</v>
      </c>
      <c r="CI89" s="216">
        <v>542</v>
      </c>
      <c r="CJ89" s="212">
        <v>21.5</v>
      </c>
      <c r="CK89" s="144"/>
      <c r="CL89" s="130">
        <v>140</v>
      </c>
      <c r="CM89" s="228">
        <v>1822</v>
      </c>
      <c r="CN89" s="138"/>
      <c r="CO89" s="142">
        <v>1.7749667110519307</v>
      </c>
      <c r="CP89" s="142">
        <v>61.106607215241183</v>
      </c>
      <c r="CQ89" s="183">
        <v>-3705.8177826564215</v>
      </c>
      <c r="CR89" s="144"/>
      <c r="CS89"/>
      <c r="CU89" s="232">
        <v>48.942397967636829</v>
      </c>
      <c r="CV89" s="143">
        <v>993.96267837541166</v>
      </c>
      <c r="CW89" s="146">
        <v>34.80491786015164</v>
      </c>
      <c r="CX89" s="143">
        <v>10423.710208562019</v>
      </c>
      <c r="CY89" s="131">
        <v>2829</v>
      </c>
      <c r="CZ89" s="229">
        <v>1299</v>
      </c>
      <c r="DA89" s="229">
        <v>13518</v>
      </c>
      <c r="DB89" s="216">
        <v>-12219</v>
      </c>
      <c r="DC89" s="229">
        <v>5860</v>
      </c>
      <c r="DD89" s="229">
        <v>7643</v>
      </c>
      <c r="DE89" s="151"/>
      <c r="DG89" s="229">
        <v>-107</v>
      </c>
      <c r="DH89" s="229">
        <v>47</v>
      </c>
      <c r="DI89" s="229">
        <v>1224</v>
      </c>
      <c r="DJ89" s="229">
        <v>588</v>
      </c>
      <c r="DK89" s="229">
        <v>2115</v>
      </c>
      <c r="DL89" s="229">
        <v>0</v>
      </c>
      <c r="DM89" s="229">
        <v>2751</v>
      </c>
      <c r="DN89" s="130">
        <v>281</v>
      </c>
      <c r="DO89" s="130">
        <v>0</v>
      </c>
      <c r="DP89" s="130">
        <v>0</v>
      </c>
      <c r="DQ89" s="130">
        <v>3032</v>
      </c>
      <c r="DR89" s="130">
        <v>1825</v>
      </c>
      <c r="DS89" s="130">
        <v>1193</v>
      </c>
      <c r="DT89" s="167"/>
      <c r="DU89" s="183">
        <v>78</v>
      </c>
      <c r="DV89" s="183">
        <v>-642</v>
      </c>
      <c r="DW89" s="180">
        <v>3908</v>
      </c>
      <c r="DX89" s="130">
        <v>5860</v>
      </c>
      <c r="DY89" s="229">
        <v>4586</v>
      </c>
      <c r="DZ89" s="229">
        <v>780</v>
      </c>
      <c r="EA89" s="229">
        <v>494</v>
      </c>
      <c r="EB89" s="212">
        <v>21.5</v>
      </c>
      <c r="EC89" s="208"/>
      <c r="ED89" s="183">
        <v>147.70588235294099</v>
      </c>
      <c r="EE89" s="3">
        <v>9479</v>
      </c>
      <c r="EF89" s="183">
        <v>9498</v>
      </c>
      <c r="EG89" s="130">
        <v>9689</v>
      </c>
      <c r="EH89" s="130"/>
      <c r="EI89" s="130"/>
      <c r="EJ89" s="130">
        <v>260</v>
      </c>
      <c r="EK89" s="183">
        <v>-565</v>
      </c>
      <c r="EL89" s="183">
        <v>32</v>
      </c>
      <c r="EM89" s="183">
        <v>401</v>
      </c>
      <c r="EN89" s="226">
        <v>-796</v>
      </c>
      <c r="EO89" s="226">
        <v>1</v>
      </c>
      <c r="EP89" s="226">
        <v>1</v>
      </c>
      <c r="EQ89" s="226">
        <v>-1497</v>
      </c>
      <c r="ER89" s="230">
        <v>13</v>
      </c>
      <c r="ES89" s="230">
        <v>4199</v>
      </c>
      <c r="ET89" s="3">
        <v>0</v>
      </c>
      <c r="EU89" s="211">
        <v>0</v>
      </c>
      <c r="EV89" s="183">
        <v>0</v>
      </c>
      <c r="EW89" s="183">
        <v>0</v>
      </c>
      <c r="EX89" s="130">
        <v>500</v>
      </c>
      <c r="EY89" s="183">
        <v>0</v>
      </c>
      <c r="EZ89" s="3">
        <v>8807</v>
      </c>
      <c r="FA89" s="3">
        <v>8148</v>
      </c>
      <c r="FB89" s="3">
        <v>659</v>
      </c>
      <c r="FC89" s="3">
        <v>120</v>
      </c>
      <c r="FD89" s="226">
        <v>8147</v>
      </c>
      <c r="FE89" s="183">
        <v>7506</v>
      </c>
      <c r="FF89" s="183">
        <v>641</v>
      </c>
      <c r="FG89" s="183">
        <v>132</v>
      </c>
      <c r="FH89" s="230">
        <v>8006</v>
      </c>
      <c r="FI89" s="130">
        <v>7365</v>
      </c>
      <c r="FJ89" s="130">
        <v>641</v>
      </c>
      <c r="FK89" s="130">
        <v>3122</v>
      </c>
      <c r="FL89" s="29">
        <v>5531.9371727748694</v>
      </c>
      <c r="FM89" s="139">
        <v>5514.7453083109922</v>
      </c>
      <c r="FN89" s="139">
        <v>5796.9264544456646</v>
      </c>
      <c r="FO89" s="172">
        <f t="shared" si="3"/>
        <v>213.30232558139534</v>
      </c>
      <c r="FP89" s="170">
        <f t="shared" si="4"/>
        <v>117.07043116432236</v>
      </c>
      <c r="FR89" s="175"/>
      <c r="FS89" s="195"/>
      <c r="FV89" s="175">
        <v>226</v>
      </c>
      <c r="FW89" s="2">
        <f t="shared" si="5"/>
        <v>-226</v>
      </c>
      <c r="FZ89" s="186"/>
      <c r="GA89" s="2"/>
      <c r="GB89" s="2"/>
    </row>
    <row r="90" spans="1:184" ht="13" x14ac:dyDescent="0.3">
      <c r="A90" s="77">
        <v>256</v>
      </c>
      <c r="B90" s="75" t="s">
        <v>87</v>
      </c>
      <c r="C90" s="179">
        <v>1615</v>
      </c>
      <c r="D90" s="138"/>
      <c r="E90" s="142" t="e">
        <v>#DIV/0!</v>
      </c>
      <c r="F90" s="142">
        <v>57.424185698240358</v>
      </c>
      <c r="G90" s="183">
        <v>-1757.2755417956655</v>
      </c>
      <c r="H90" s="144"/>
      <c r="I90" s="186"/>
      <c r="K90" s="210">
        <v>62.94077866872766</v>
      </c>
      <c r="L90" s="143">
        <v>1223.5294117647061</v>
      </c>
      <c r="M90" s="146">
        <v>48.519340733266063</v>
      </c>
      <c r="N90" s="143">
        <v>9204.3343653250777</v>
      </c>
      <c r="O90" s="138">
        <v>3710</v>
      </c>
      <c r="P90" s="143">
        <v>2172</v>
      </c>
      <c r="Q90" s="184">
        <v>13644</v>
      </c>
      <c r="R90" s="184">
        <v>-11472</v>
      </c>
      <c r="S90" s="139">
        <v>4603</v>
      </c>
      <c r="T90" s="138">
        <v>6580</v>
      </c>
      <c r="U90" s="151"/>
      <c r="W90" s="183">
        <v>68</v>
      </c>
      <c r="X90" s="183">
        <v>6</v>
      </c>
      <c r="Y90" s="184">
        <v>-215</v>
      </c>
      <c r="Z90" s="130">
        <v>855</v>
      </c>
      <c r="AA90" s="130">
        <v>0</v>
      </c>
      <c r="AB90" s="131">
        <v>0</v>
      </c>
      <c r="AC90" s="184">
        <v>-1070</v>
      </c>
      <c r="AD90" s="184">
        <v>13</v>
      </c>
      <c r="AE90" s="183">
        <v>0</v>
      </c>
      <c r="AF90" s="183">
        <v>0</v>
      </c>
      <c r="AG90" s="183">
        <v>-1057</v>
      </c>
      <c r="AH90" s="183">
        <v>4561</v>
      </c>
      <c r="AI90" s="183">
        <v>-225</v>
      </c>
      <c r="AJ90" s="167"/>
      <c r="AK90" s="183">
        <v>-3</v>
      </c>
      <c r="AL90" s="183">
        <v>0</v>
      </c>
      <c r="AM90" s="180">
        <v>-1359</v>
      </c>
      <c r="AN90" s="139">
        <v>4603</v>
      </c>
      <c r="AO90" s="138">
        <v>3669</v>
      </c>
      <c r="AP90" s="184">
        <v>569</v>
      </c>
      <c r="AQ90" s="138">
        <v>365</v>
      </c>
      <c r="AR90" s="109">
        <v>20.5</v>
      </c>
      <c r="AS90" s="144"/>
      <c r="AT90" s="139">
        <v>281</v>
      </c>
      <c r="AU90" s="228">
        <v>1620</v>
      </c>
      <c r="AV90" s="138"/>
      <c r="AW90" s="224">
        <v>-0.2856299793449395</v>
      </c>
      <c r="AX90" s="225">
        <v>54.551559468736009</v>
      </c>
      <c r="AY90" s="139">
        <v>-2334.5679012345681</v>
      </c>
      <c r="AZ90" s="144"/>
      <c r="BA90"/>
      <c r="BC90" s="189">
        <v>61.517415552983266</v>
      </c>
      <c r="BD90" s="183">
        <v>682.09876543209884</v>
      </c>
      <c r="BE90" s="140">
        <v>27.850089766606821</v>
      </c>
      <c r="BF90" s="139">
        <v>8939.5061728395067</v>
      </c>
      <c r="BG90" s="184">
        <v>3810</v>
      </c>
      <c r="BH90" s="216">
        <v>2432</v>
      </c>
      <c r="BI90" s="216">
        <v>13722</v>
      </c>
      <c r="BJ90" s="216">
        <v>-11281</v>
      </c>
      <c r="BK90" s="216">
        <v>4437</v>
      </c>
      <c r="BL90" s="216">
        <v>6533</v>
      </c>
      <c r="BM90" s="151"/>
      <c r="BO90" s="216">
        <v>54</v>
      </c>
      <c r="BP90" s="216">
        <v>13</v>
      </c>
      <c r="BQ90" s="216">
        <v>-244</v>
      </c>
      <c r="BR90" s="216">
        <v>927</v>
      </c>
      <c r="BS90" s="216">
        <v>0</v>
      </c>
      <c r="BT90" s="216">
        <v>0</v>
      </c>
      <c r="BU90" s="216">
        <v>-1171</v>
      </c>
      <c r="BV90" s="184">
        <v>13</v>
      </c>
      <c r="BW90" s="183">
        <v>0</v>
      </c>
      <c r="BX90" s="183">
        <v>0</v>
      </c>
      <c r="BY90" s="183">
        <v>-1158</v>
      </c>
      <c r="BZ90" s="183">
        <v>3402</v>
      </c>
      <c r="CA90" s="183">
        <v>-225</v>
      </c>
      <c r="CB90" s="167"/>
      <c r="CC90" s="183">
        <v>430</v>
      </c>
      <c r="CD90" s="183">
        <v>0</v>
      </c>
      <c r="CE90" s="180">
        <v>-819</v>
      </c>
      <c r="CF90" s="139">
        <v>4437</v>
      </c>
      <c r="CG90" s="216">
        <v>3403</v>
      </c>
      <c r="CH90" s="216">
        <v>615</v>
      </c>
      <c r="CI90" s="216">
        <v>419</v>
      </c>
      <c r="CJ90" s="212">
        <v>21</v>
      </c>
      <c r="CK90" s="144"/>
      <c r="CL90" s="130">
        <v>266</v>
      </c>
      <c r="CM90" s="228">
        <v>1597</v>
      </c>
      <c r="CN90" s="138"/>
      <c r="CO90" s="142" t="e">
        <v>#DIV/0!</v>
      </c>
      <c r="CP90" s="142">
        <v>52.325988107729977</v>
      </c>
      <c r="CQ90" s="183">
        <v>-2635.5666875391357</v>
      </c>
      <c r="CR90" s="144"/>
      <c r="CS90"/>
      <c r="CU90" s="232">
        <v>60.334869919991519</v>
      </c>
      <c r="CV90" s="143">
        <v>654.97808390732621</v>
      </c>
      <c r="CW90" s="146">
        <v>25.083108862755402</v>
      </c>
      <c r="CX90" s="143">
        <v>9530.9956167814653</v>
      </c>
      <c r="CY90" s="131">
        <v>3779</v>
      </c>
      <c r="CZ90" s="229">
        <v>1981</v>
      </c>
      <c r="DA90" s="229">
        <v>13606</v>
      </c>
      <c r="DB90" s="216">
        <v>-11625</v>
      </c>
      <c r="DC90" s="229">
        <v>4961</v>
      </c>
      <c r="DD90" s="229">
        <v>7353</v>
      </c>
      <c r="DE90" s="151"/>
      <c r="DG90" s="229">
        <v>65</v>
      </c>
      <c r="DH90" s="229">
        <v>-237</v>
      </c>
      <c r="DI90" s="229">
        <v>517</v>
      </c>
      <c r="DJ90" s="229">
        <v>894</v>
      </c>
      <c r="DK90" s="229">
        <v>0</v>
      </c>
      <c r="DL90" s="229">
        <v>0</v>
      </c>
      <c r="DM90" s="229">
        <v>-377</v>
      </c>
      <c r="DN90" s="131">
        <v>13</v>
      </c>
      <c r="DO90" s="130">
        <v>0</v>
      </c>
      <c r="DP90" s="130">
        <v>0</v>
      </c>
      <c r="DQ90" s="130">
        <v>-364</v>
      </c>
      <c r="DR90" s="130">
        <v>3038</v>
      </c>
      <c r="DS90" s="130">
        <v>760</v>
      </c>
      <c r="DT90" s="167"/>
      <c r="DU90" s="183">
        <v>200</v>
      </c>
      <c r="DV90" s="183">
        <v>0</v>
      </c>
      <c r="DW90" s="180">
        <v>-581</v>
      </c>
      <c r="DX90" s="130">
        <v>4961</v>
      </c>
      <c r="DY90" s="229">
        <v>3872</v>
      </c>
      <c r="DZ90" s="229">
        <v>707</v>
      </c>
      <c r="EA90" s="229">
        <v>382</v>
      </c>
      <c r="EB90" s="212">
        <v>21</v>
      </c>
      <c r="EC90" s="208"/>
      <c r="ED90" s="183">
        <v>270.60294117646998</v>
      </c>
      <c r="EE90" s="3">
        <v>8159</v>
      </c>
      <c r="EF90" s="183">
        <v>8116</v>
      </c>
      <c r="EG90" s="130">
        <v>8299</v>
      </c>
      <c r="EH90" s="130"/>
      <c r="EI90" s="130"/>
      <c r="EJ90" s="130"/>
      <c r="EK90" s="183">
        <v>-1165</v>
      </c>
      <c r="EL90" s="183">
        <v>15</v>
      </c>
      <c r="EM90" s="183">
        <v>16</v>
      </c>
      <c r="EN90" s="226">
        <v>-761</v>
      </c>
      <c r="EO90" s="226">
        <v>12</v>
      </c>
      <c r="EP90" s="226">
        <v>155</v>
      </c>
      <c r="EQ90" s="226">
        <v>-1358</v>
      </c>
      <c r="ER90" s="230">
        <v>0</v>
      </c>
      <c r="ES90" s="230">
        <v>17</v>
      </c>
      <c r="ET90" s="3">
        <v>0</v>
      </c>
      <c r="EU90" s="211">
        <v>0</v>
      </c>
      <c r="EV90" s="183">
        <v>0</v>
      </c>
      <c r="EW90" s="183">
        <v>100</v>
      </c>
      <c r="EX90" s="130">
        <v>2700</v>
      </c>
      <c r="EY90" s="183">
        <v>-2700</v>
      </c>
      <c r="EZ90" s="3">
        <v>5900</v>
      </c>
      <c r="FA90" s="3">
        <v>0</v>
      </c>
      <c r="FB90" s="3">
        <v>5900</v>
      </c>
      <c r="FC90" s="3">
        <v>100</v>
      </c>
      <c r="FD90" s="226">
        <v>6000</v>
      </c>
      <c r="FE90" s="183">
        <v>0</v>
      </c>
      <c r="FF90" s="183">
        <v>6000</v>
      </c>
      <c r="FG90" s="183">
        <v>100</v>
      </c>
      <c r="FH90" s="230">
        <v>6000</v>
      </c>
      <c r="FI90" s="130">
        <v>2700</v>
      </c>
      <c r="FJ90" s="130">
        <v>3300</v>
      </c>
      <c r="FK90" s="130">
        <v>0</v>
      </c>
      <c r="FL90" s="29">
        <v>5695.9752321981423</v>
      </c>
      <c r="FM90" s="139">
        <v>6412.3456790123464</v>
      </c>
      <c r="FN90" s="139">
        <v>6947.4013775829681</v>
      </c>
      <c r="FO90" s="172">
        <f t="shared" si="3"/>
        <v>184.38095238095238</v>
      </c>
      <c r="FP90" s="170">
        <f t="shared" si="4"/>
        <v>115.45457256164833</v>
      </c>
      <c r="FR90" s="175"/>
      <c r="FS90" s="195"/>
      <c r="FV90" s="175">
        <v>115</v>
      </c>
      <c r="FW90" s="2">
        <f t="shared" si="5"/>
        <v>-115</v>
      </c>
      <c r="FZ90" s="186"/>
      <c r="GA90" s="2"/>
      <c r="GB90" s="2"/>
    </row>
    <row r="91" spans="1:184" ht="13" x14ac:dyDescent="0.3">
      <c r="A91" s="77">
        <v>257</v>
      </c>
      <c r="B91" s="75" t="s">
        <v>88</v>
      </c>
      <c r="C91" s="179">
        <v>39262</v>
      </c>
      <c r="D91" s="138"/>
      <c r="E91" s="142">
        <v>0.90517683239364433</v>
      </c>
      <c r="F91" s="142">
        <v>69.90326371937438</v>
      </c>
      <c r="G91" s="183">
        <v>-3590.7238551270948</v>
      </c>
      <c r="H91" s="144"/>
      <c r="I91" s="186"/>
      <c r="K91" s="210">
        <v>32.421963114785974</v>
      </c>
      <c r="L91" s="143">
        <v>510.49360705007388</v>
      </c>
      <c r="M91" s="146">
        <v>26.575661694723156</v>
      </c>
      <c r="N91" s="143">
        <v>7011.3086444908558</v>
      </c>
      <c r="O91" s="138">
        <v>96878</v>
      </c>
      <c r="P91" s="143">
        <v>32529</v>
      </c>
      <c r="Q91" s="184">
        <v>231457</v>
      </c>
      <c r="R91" s="184">
        <v>-198928</v>
      </c>
      <c r="S91" s="139">
        <v>189347</v>
      </c>
      <c r="T91" s="138">
        <v>21466</v>
      </c>
      <c r="U91" s="151"/>
      <c r="W91" s="183">
        <v>-947</v>
      </c>
      <c r="X91" s="183">
        <v>428</v>
      </c>
      <c r="Y91" s="184">
        <v>11366</v>
      </c>
      <c r="Z91" s="130">
        <v>15554</v>
      </c>
      <c r="AA91" s="130">
        <v>0</v>
      </c>
      <c r="AB91" s="130">
        <v>189</v>
      </c>
      <c r="AC91" s="184">
        <v>-4377</v>
      </c>
      <c r="AD91" s="184">
        <v>18</v>
      </c>
      <c r="AE91" s="184">
        <v>0</v>
      </c>
      <c r="AF91" s="184">
        <v>60</v>
      </c>
      <c r="AG91" s="183">
        <v>-4299</v>
      </c>
      <c r="AH91" s="183">
        <v>22655</v>
      </c>
      <c r="AI91" s="183">
        <v>7614</v>
      </c>
      <c r="AJ91" s="167"/>
      <c r="AK91" s="183">
        <v>247</v>
      </c>
      <c r="AL91" s="183">
        <v>-12661</v>
      </c>
      <c r="AM91" s="180">
        <v>-18769</v>
      </c>
      <c r="AN91" s="139">
        <v>189347</v>
      </c>
      <c r="AO91" s="138">
        <v>171177</v>
      </c>
      <c r="AP91" s="184">
        <v>6599</v>
      </c>
      <c r="AQ91" s="138">
        <v>11571</v>
      </c>
      <c r="AR91" s="109">
        <v>19.5</v>
      </c>
      <c r="AS91" s="144"/>
      <c r="AT91" s="139">
        <v>114</v>
      </c>
      <c r="AU91" s="228">
        <v>39586</v>
      </c>
      <c r="AV91" s="138"/>
      <c r="AW91" s="224">
        <v>-6.2205726730365167E-2</v>
      </c>
      <c r="AX91" s="225">
        <v>89.539764239786976</v>
      </c>
      <c r="AY91" s="139">
        <v>-4823.6245137169708</v>
      </c>
      <c r="AZ91" s="144"/>
      <c r="BA91"/>
      <c r="BC91" s="189">
        <v>21.959615859877267</v>
      </c>
      <c r="BD91" s="183">
        <v>399.25731319153238</v>
      </c>
      <c r="BE91" s="140">
        <v>18.474132547675854</v>
      </c>
      <c r="BF91" s="139">
        <v>7888.2685798009397</v>
      </c>
      <c r="BG91" s="184">
        <v>100958</v>
      </c>
      <c r="BH91" s="216">
        <v>34217</v>
      </c>
      <c r="BI91" s="216">
        <v>248385</v>
      </c>
      <c r="BJ91" s="216">
        <v>-214168</v>
      </c>
      <c r="BK91" s="216">
        <v>189933</v>
      </c>
      <c r="BL91" s="216">
        <v>22202</v>
      </c>
      <c r="BM91" s="151"/>
      <c r="BO91" s="216">
        <v>-1095</v>
      </c>
      <c r="BP91" s="216">
        <v>483</v>
      </c>
      <c r="BQ91" s="216">
        <v>-2645</v>
      </c>
      <c r="BR91" s="216">
        <v>17602</v>
      </c>
      <c r="BS91" s="216">
        <v>0</v>
      </c>
      <c r="BT91" s="216">
        <v>0</v>
      </c>
      <c r="BU91" s="216">
        <v>-20247</v>
      </c>
      <c r="BV91" s="184">
        <v>16</v>
      </c>
      <c r="BW91" s="184">
        <v>0</v>
      </c>
      <c r="BX91" s="184">
        <v>-22</v>
      </c>
      <c r="BY91" s="183">
        <v>-20253</v>
      </c>
      <c r="BZ91" s="183">
        <v>2402</v>
      </c>
      <c r="CA91" s="183">
        <v>-6319</v>
      </c>
      <c r="CB91" s="167"/>
      <c r="CC91" s="183">
        <v>-4749</v>
      </c>
      <c r="CD91" s="183">
        <v>-15556</v>
      </c>
      <c r="CE91" s="180">
        <v>-49284</v>
      </c>
      <c r="CF91" s="139">
        <v>189933</v>
      </c>
      <c r="CG91" s="216">
        <v>171819</v>
      </c>
      <c r="CH91" s="216">
        <v>6289</v>
      </c>
      <c r="CI91" s="216">
        <v>11825</v>
      </c>
      <c r="CJ91" s="212">
        <v>19.75</v>
      </c>
      <c r="CK91" s="144"/>
      <c r="CL91" s="130">
        <v>251</v>
      </c>
      <c r="CM91" s="228">
        <v>40082</v>
      </c>
      <c r="CN91" s="138"/>
      <c r="CO91" s="142">
        <v>1.2491601343784995</v>
      </c>
      <c r="CP91" s="142">
        <v>98.138780638351491</v>
      </c>
      <c r="CQ91" s="183">
        <v>-5483.5088069457615</v>
      </c>
      <c r="CR91" s="144"/>
      <c r="CS91"/>
      <c r="CU91" s="232">
        <v>20.553556891888345</v>
      </c>
      <c r="CV91" s="143">
        <v>740.70655156928296</v>
      </c>
      <c r="CW91" s="146">
        <v>33.13291710109123</v>
      </c>
      <c r="CX91" s="143">
        <v>8159.797415298638</v>
      </c>
      <c r="CY91" s="131">
        <v>100874</v>
      </c>
      <c r="CZ91" s="229">
        <v>29664</v>
      </c>
      <c r="DA91" s="229">
        <v>247551</v>
      </c>
      <c r="DB91" s="216">
        <v>-217887</v>
      </c>
      <c r="DC91" s="229">
        <v>202035</v>
      </c>
      <c r="DD91" s="229">
        <v>42100</v>
      </c>
      <c r="DE91" s="151"/>
      <c r="DG91" s="229">
        <v>-1091</v>
      </c>
      <c r="DH91" s="229">
        <v>453</v>
      </c>
      <c r="DI91" s="229">
        <v>25610</v>
      </c>
      <c r="DJ91" s="229">
        <v>18303</v>
      </c>
      <c r="DK91" s="229">
        <v>54</v>
      </c>
      <c r="DL91" s="229">
        <v>0</v>
      </c>
      <c r="DM91" s="229">
        <v>7361</v>
      </c>
      <c r="DN91" s="131">
        <v>15</v>
      </c>
      <c r="DO91" s="131">
        <v>0</v>
      </c>
      <c r="DP91" s="131">
        <v>0</v>
      </c>
      <c r="DQ91" s="130">
        <v>7376</v>
      </c>
      <c r="DR91" s="130">
        <v>9778</v>
      </c>
      <c r="DS91" s="130">
        <v>23284</v>
      </c>
      <c r="DT91" s="167"/>
      <c r="DU91" s="183">
        <v>-5394</v>
      </c>
      <c r="DV91" s="183">
        <v>-20270</v>
      </c>
      <c r="DW91" s="180">
        <v>-29426</v>
      </c>
      <c r="DX91" s="130">
        <v>202035</v>
      </c>
      <c r="DY91" s="229">
        <v>185022</v>
      </c>
      <c r="DZ91" s="229">
        <v>6124</v>
      </c>
      <c r="EA91" s="229">
        <v>10889</v>
      </c>
      <c r="EB91" s="212">
        <v>19.75</v>
      </c>
      <c r="EC91" s="208"/>
      <c r="ED91" s="183">
        <v>163.82352941176401</v>
      </c>
      <c r="EE91" s="3">
        <v>102904</v>
      </c>
      <c r="EF91" s="183">
        <v>111717</v>
      </c>
      <c r="EG91" s="130">
        <v>111465</v>
      </c>
      <c r="EH91" s="130"/>
      <c r="EI91" s="130"/>
      <c r="EJ91" s="130"/>
      <c r="EK91" s="183">
        <v>-30147</v>
      </c>
      <c r="EL91" s="183">
        <v>0</v>
      </c>
      <c r="EM91" s="183">
        <v>3764</v>
      </c>
      <c r="EN91" s="226">
        <v>-47194</v>
      </c>
      <c r="EO91" s="226">
        <v>0</v>
      </c>
      <c r="EP91" s="226">
        <v>4229</v>
      </c>
      <c r="EQ91" s="226">
        <v>-58072</v>
      </c>
      <c r="ER91" s="230">
        <v>2560</v>
      </c>
      <c r="ES91" s="230">
        <v>2802</v>
      </c>
      <c r="ET91" s="3">
        <v>35000</v>
      </c>
      <c r="EU91" s="211">
        <v>-8498</v>
      </c>
      <c r="EV91" s="183">
        <v>55000</v>
      </c>
      <c r="EW91" s="183">
        <v>5000</v>
      </c>
      <c r="EX91" s="130">
        <v>69999</v>
      </c>
      <c r="EY91" s="183">
        <v>-6000</v>
      </c>
      <c r="EZ91" s="3">
        <v>123405</v>
      </c>
      <c r="FA91" s="3">
        <v>70849</v>
      </c>
      <c r="FB91" s="3">
        <v>52556</v>
      </c>
      <c r="FC91" s="3">
        <v>890</v>
      </c>
      <c r="FD91" s="226">
        <v>167849</v>
      </c>
      <c r="FE91" s="183">
        <v>105579</v>
      </c>
      <c r="FF91" s="183">
        <v>62270</v>
      </c>
      <c r="FG91" s="183">
        <v>890</v>
      </c>
      <c r="FH91" s="230">
        <v>211576</v>
      </c>
      <c r="FI91" s="130">
        <v>151047</v>
      </c>
      <c r="FJ91" s="130">
        <v>60529</v>
      </c>
      <c r="FK91" s="130">
        <v>699</v>
      </c>
      <c r="FL91" s="29">
        <v>4453.1862869950583</v>
      </c>
      <c r="FM91" s="139">
        <v>5910.7260142474615</v>
      </c>
      <c r="FN91" s="139">
        <v>7173.6440297390345</v>
      </c>
      <c r="FO91" s="172">
        <f t="shared" si="3"/>
        <v>9368.2025316455693</v>
      </c>
      <c r="FP91" s="170">
        <f t="shared" si="4"/>
        <v>233.72592514459282</v>
      </c>
      <c r="FR91" s="175"/>
      <c r="FS91" s="195"/>
      <c r="FV91" s="175">
        <v>7251</v>
      </c>
      <c r="FW91" s="2">
        <f t="shared" si="5"/>
        <v>-7251</v>
      </c>
      <c r="FZ91" s="186"/>
      <c r="GA91" s="2"/>
      <c r="GB91" s="2"/>
    </row>
    <row r="92" spans="1:184" ht="13" x14ac:dyDescent="0.3">
      <c r="A92" s="77">
        <v>260</v>
      </c>
      <c r="B92" s="75" t="s">
        <v>89</v>
      </c>
      <c r="C92" s="179">
        <v>10358</v>
      </c>
      <c r="D92" s="138"/>
      <c r="E92" s="142">
        <v>1.6986260454002389</v>
      </c>
      <c r="F92" s="142">
        <v>13.046991227620172</v>
      </c>
      <c r="G92" s="183">
        <v>-372.07955203707274</v>
      </c>
      <c r="H92" s="144"/>
      <c r="I92" s="186"/>
      <c r="K92" s="210">
        <v>79.788987240693857</v>
      </c>
      <c r="L92" s="143">
        <v>430.58505502992853</v>
      </c>
      <c r="M92" s="146">
        <v>20.571695752720103</v>
      </c>
      <c r="N92" s="143">
        <v>7639.7953272832592</v>
      </c>
      <c r="O92" s="138">
        <v>15373</v>
      </c>
      <c r="P92" s="143">
        <v>8668</v>
      </c>
      <c r="Q92" s="184">
        <v>72691</v>
      </c>
      <c r="R92" s="184">
        <v>-64023</v>
      </c>
      <c r="S92" s="139">
        <v>32159</v>
      </c>
      <c r="T92" s="138">
        <v>37145</v>
      </c>
      <c r="U92" s="151"/>
      <c r="W92" s="183">
        <v>-41</v>
      </c>
      <c r="X92" s="183">
        <v>395</v>
      </c>
      <c r="Y92" s="184">
        <v>5635</v>
      </c>
      <c r="Z92" s="130">
        <v>2909</v>
      </c>
      <c r="AA92" s="130">
        <v>0</v>
      </c>
      <c r="AB92" s="130">
        <v>0</v>
      </c>
      <c r="AC92" s="184">
        <v>2726</v>
      </c>
      <c r="AD92" s="184">
        <v>71</v>
      </c>
      <c r="AE92" s="184">
        <v>0</v>
      </c>
      <c r="AF92" s="183">
        <v>0</v>
      </c>
      <c r="AG92" s="183">
        <v>2797</v>
      </c>
      <c r="AH92" s="183">
        <v>19655</v>
      </c>
      <c r="AI92" s="183">
        <v>6352</v>
      </c>
      <c r="AJ92" s="167"/>
      <c r="AK92" s="183">
        <v>302</v>
      </c>
      <c r="AL92" s="183">
        <v>-3296</v>
      </c>
      <c r="AM92" s="180">
        <v>3587</v>
      </c>
      <c r="AN92" s="139">
        <v>32159</v>
      </c>
      <c r="AO92" s="138">
        <v>27147</v>
      </c>
      <c r="AP92" s="184">
        <v>2167</v>
      </c>
      <c r="AQ92" s="138">
        <v>2845</v>
      </c>
      <c r="AR92" s="109">
        <v>21.5</v>
      </c>
      <c r="AS92" s="144"/>
      <c r="AT92" s="139">
        <v>34</v>
      </c>
      <c r="AU92" s="228">
        <v>10136</v>
      </c>
      <c r="AV92" s="138"/>
      <c r="AW92" s="224">
        <v>6.2230739747029515</v>
      </c>
      <c r="AX92" s="225">
        <v>10.930330645058218</v>
      </c>
      <c r="AY92" s="139">
        <v>-155.18942383583268</v>
      </c>
      <c r="AZ92" s="144"/>
      <c r="BA92"/>
      <c r="BC92" s="189">
        <v>81.439806618548275</v>
      </c>
      <c r="BD92" s="183">
        <v>470.79715864246253</v>
      </c>
      <c r="BE92" s="140">
        <v>22.215731540884914</v>
      </c>
      <c r="BF92" s="139">
        <v>7735.1026045777426</v>
      </c>
      <c r="BG92" s="184">
        <v>16052</v>
      </c>
      <c r="BH92" s="216">
        <v>8837</v>
      </c>
      <c r="BI92" s="216">
        <v>74604</v>
      </c>
      <c r="BJ92" s="216">
        <v>-65767</v>
      </c>
      <c r="BK92" s="216">
        <v>32236</v>
      </c>
      <c r="BL92" s="216">
        <v>37168</v>
      </c>
      <c r="BM92" s="151"/>
      <c r="BO92" s="216">
        <v>-24</v>
      </c>
      <c r="BP92" s="216">
        <v>410</v>
      </c>
      <c r="BQ92" s="216">
        <v>4023</v>
      </c>
      <c r="BR92" s="216">
        <v>2871</v>
      </c>
      <c r="BS92" s="216">
        <v>0</v>
      </c>
      <c r="BT92" s="216">
        <v>0</v>
      </c>
      <c r="BU92" s="216">
        <v>1152</v>
      </c>
      <c r="BV92" s="184">
        <v>39</v>
      </c>
      <c r="BW92" s="184">
        <v>0</v>
      </c>
      <c r="BX92" s="183">
        <v>0</v>
      </c>
      <c r="BY92" s="183">
        <v>1191</v>
      </c>
      <c r="BZ92" s="183">
        <v>20572</v>
      </c>
      <c r="CA92" s="183">
        <v>4282</v>
      </c>
      <c r="CB92" s="167"/>
      <c r="CC92" s="183">
        <v>-348</v>
      </c>
      <c r="CD92" s="183">
        <v>-1312</v>
      </c>
      <c r="CE92" s="180">
        <v>2516</v>
      </c>
      <c r="CF92" s="139">
        <v>32236</v>
      </c>
      <c r="CG92" s="216">
        <v>27059</v>
      </c>
      <c r="CH92" s="216">
        <v>2199</v>
      </c>
      <c r="CI92" s="216">
        <v>2978</v>
      </c>
      <c r="CJ92" s="212">
        <v>21</v>
      </c>
      <c r="CK92" s="144"/>
      <c r="CL92" s="130">
        <v>59</v>
      </c>
      <c r="CM92" s="228">
        <v>9933</v>
      </c>
      <c r="CN92" s="138"/>
      <c r="CO92" s="142">
        <v>8.92578125</v>
      </c>
      <c r="CP92" s="142">
        <v>11.377065357353455</v>
      </c>
      <c r="CQ92" s="183">
        <v>216.34954193093728</v>
      </c>
      <c r="CR92" s="144"/>
      <c r="CS92"/>
      <c r="CU92" s="232">
        <v>80.706788851190666</v>
      </c>
      <c r="CV92" s="143">
        <v>915.33272928621761</v>
      </c>
      <c r="CW92" s="146">
        <v>40.935757635565203</v>
      </c>
      <c r="CX92" s="143">
        <v>8161.4819289237894</v>
      </c>
      <c r="CY92" s="131">
        <v>16383</v>
      </c>
      <c r="CZ92" s="229">
        <v>8298</v>
      </c>
      <c r="DA92" s="229">
        <v>76648</v>
      </c>
      <c r="DB92" s="216">
        <v>-68350</v>
      </c>
      <c r="DC92" s="229">
        <v>32672</v>
      </c>
      <c r="DD92" s="229">
        <v>42127</v>
      </c>
      <c r="DE92" s="151"/>
      <c r="DG92" s="229">
        <v>-15</v>
      </c>
      <c r="DH92" s="229">
        <v>394</v>
      </c>
      <c r="DI92" s="229">
        <v>6828</v>
      </c>
      <c r="DJ92" s="229">
        <v>3763</v>
      </c>
      <c r="DK92" s="229">
        <v>0</v>
      </c>
      <c r="DL92" s="229">
        <v>0</v>
      </c>
      <c r="DM92" s="229">
        <v>3065</v>
      </c>
      <c r="DN92" s="131">
        <v>28</v>
      </c>
      <c r="DO92" s="131">
        <v>0</v>
      </c>
      <c r="DP92" s="130">
        <v>0</v>
      </c>
      <c r="DQ92" s="130">
        <v>3093</v>
      </c>
      <c r="DR92" s="130">
        <v>23665</v>
      </c>
      <c r="DS92" s="130">
        <v>7019</v>
      </c>
      <c r="DT92" s="167"/>
      <c r="DU92" s="183">
        <v>-305</v>
      </c>
      <c r="DV92" s="183">
        <v>-741</v>
      </c>
      <c r="DW92" s="180">
        <v>3864</v>
      </c>
      <c r="DX92" s="130">
        <v>32672</v>
      </c>
      <c r="DY92" s="229">
        <v>27559</v>
      </c>
      <c r="DZ92" s="229">
        <v>2464</v>
      </c>
      <c r="EA92" s="229">
        <v>2649</v>
      </c>
      <c r="EB92" s="212">
        <v>21</v>
      </c>
      <c r="EC92" s="208"/>
      <c r="ED92" s="183">
        <v>140.654411764705</v>
      </c>
      <c r="EE92" s="3">
        <v>50475</v>
      </c>
      <c r="EF92" s="183">
        <v>51620</v>
      </c>
      <c r="EG92" s="130">
        <v>52889</v>
      </c>
      <c r="EH92" s="130"/>
      <c r="EI92" s="130"/>
      <c r="EJ92" s="130"/>
      <c r="EK92" s="183">
        <v>-2867</v>
      </c>
      <c r="EL92" s="183">
        <v>38</v>
      </c>
      <c r="EM92" s="183">
        <v>64</v>
      </c>
      <c r="EN92" s="226">
        <v>-2183</v>
      </c>
      <c r="EO92" s="226">
        <v>317</v>
      </c>
      <c r="EP92" s="226">
        <v>100</v>
      </c>
      <c r="EQ92" s="226">
        <v>-3510</v>
      </c>
      <c r="ER92" s="230">
        <v>176</v>
      </c>
      <c r="ES92" s="230">
        <v>179</v>
      </c>
      <c r="ET92" s="3">
        <v>0</v>
      </c>
      <c r="EU92" s="211">
        <v>0</v>
      </c>
      <c r="EV92" s="183">
        <v>0</v>
      </c>
      <c r="EW92" s="183">
        <v>0</v>
      </c>
      <c r="EX92" s="130">
        <v>1540</v>
      </c>
      <c r="EY92" s="183">
        <v>0</v>
      </c>
      <c r="EZ92" s="3">
        <v>4805</v>
      </c>
      <c r="FA92" s="3">
        <v>3493</v>
      </c>
      <c r="FB92" s="3">
        <v>1312</v>
      </c>
      <c r="FC92" s="3">
        <v>575</v>
      </c>
      <c r="FD92" s="226">
        <v>3493</v>
      </c>
      <c r="FE92" s="183">
        <v>2657</v>
      </c>
      <c r="FF92" s="183">
        <v>836</v>
      </c>
      <c r="FG92" s="183">
        <v>837</v>
      </c>
      <c r="FH92" s="230">
        <v>4293</v>
      </c>
      <c r="FI92" s="130">
        <v>3362</v>
      </c>
      <c r="FJ92" s="130">
        <v>931</v>
      </c>
      <c r="FK92" s="130">
        <v>108</v>
      </c>
      <c r="FL92" s="29">
        <v>1947.8663834717127</v>
      </c>
      <c r="FM92" s="139">
        <v>1928.1767955801106</v>
      </c>
      <c r="FN92" s="139">
        <v>2109.7352260142957</v>
      </c>
      <c r="FO92" s="172">
        <f t="shared" si="3"/>
        <v>1312.3333333333333</v>
      </c>
      <c r="FP92" s="170">
        <f t="shared" si="4"/>
        <v>132.11852746736466</v>
      </c>
      <c r="FR92" s="175"/>
      <c r="FS92" s="195"/>
      <c r="FV92" s="175">
        <v>3565</v>
      </c>
      <c r="FW92" s="2">
        <f t="shared" si="5"/>
        <v>-3565</v>
      </c>
      <c r="FZ92" s="186"/>
      <c r="GA92" s="2"/>
      <c r="GB92" s="2"/>
    </row>
    <row r="93" spans="1:184" ht="13" x14ac:dyDescent="0.3">
      <c r="A93" s="77">
        <v>261</v>
      </c>
      <c r="B93" s="75" t="s">
        <v>90</v>
      </c>
      <c r="C93" s="179">
        <v>6436</v>
      </c>
      <c r="D93" s="138"/>
      <c r="E93" s="142">
        <v>1.1016737446914815</v>
      </c>
      <c r="F93" s="142">
        <v>42.380838975266222</v>
      </c>
      <c r="G93" s="183">
        <v>-3417.1845866998133</v>
      </c>
      <c r="H93" s="144"/>
      <c r="I93" s="186"/>
      <c r="K93" s="210">
        <v>57.060047818084868</v>
      </c>
      <c r="L93" s="143">
        <v>126.00994406463641</v>
      </c>
      <c r="M93" s="146">
        <v>4.8123130446091817</v>
      </c>
      <c r="N93" s="143">
        <v>9557.4891236793028</v>
      </c>
      <c r="O93" s="138">
        <v>26720</v>
      </c>
      <c r="P93" s="143">
        <v>9092</v>
      </c>
      <c r="Q93" s="184">
        <v>55790</v>
      </c>
      <c r="R93" s="184">
        <v>-46698</v>
      </c>
      <c r="S93" s="139">
        <v>28580</v>
      </c>
      <c r="T93" s="138">
        <v>21114</v>
      </c>
      <c r="U93" s="151"/>
      <c r="W93" s="183">
        <v>-241</v>
      </c>
      <c r="X93" s="183">
        <v>1414</v>
      </c>
      <c r="Y93" s="184">
        <v>4169</v>
      </c>
      <c r="Z93" s="130">
        <v>2644</v>
      </c>
      <c r="AA93" s="131">
        <v>0</v>
      </c>
      <c r="AB93" s="130">
        <v>0</v>
      </c>
      <c r="AC93" s="184">
        <v>1525</v>
      </c>
      <c r="AD93" s="183">
        <v>169</v>
      </c>
      <c r="AE93" s="184">
        <v>0</v>
      </c>
      <c r="AF93" s="183">
        <v>0</v>
      </c>
      <c r="AG93" s="183">
        <v>1694</v>
      </c>
      <c r="AH93" s="183">
        <v>14464</v>
      </c>
      <c r="AI93" s="183">
        <v>2567</v>
      </c>
      <c r="AJ93" s="167"/>
      <c r="AK93" s="183">
        <v>182</v>
      </c>
      <c r="AL93" s="183">
        <v>-3762</v>
      </c>
      <c r="AM93" s="180">
        <v>2458</v>
      </c>
      <c r="AN93" s="139">
        <v>28580</v>
      </c>
      <c r="AO93" s="138">
        <v>19614</v>
      </c>
      <c r="AP93" s="184">
        <v>1926</v>
      </c>
      <c r="AQ93" s="138">
        <v>7040</v>
      </c>
      <c r="AR93" s="109">
        <v>20.25</v>
      </c>
      <c r="AS93" s="144"/>
      <c r="AT93" s="139">
        <v>16</v>
      </c>
      <c r="AU93" s="228">
        <v>6453</v>
      </c>
      <c r="AV93" s="138"/>
      <c r="AW93" s="224">
        <v>2.3419402434526004</v>
      </c>
      <c r="AX93" s="225">
        <v>39.809318222701926</v>
      </c>
      <c r="AY93" s="139">
        <v>-3058.5774058577404</v>
      </c>
      <c r="AZ93" s="144"/>
      <c r="BA93"/>
      <c r="BC93" s="189">
        <v>60.485141919446292</v>
      </c>
      <c r="BD93" s="183">
        <v>251.35595846892917</v>
      </c>
      <c r="BE93" s="140">
        <v>9.2071662960140586</v>
      </c>
      <c r="BF93" s="139">
        <v>9964.5126297845964</v>
      </c>
      <c r="BG93" s="184">
        <v>26997</v>
      </c>
      <c r="BH93" s="216">
        <v>7730</v>
      </c>
      <c r="BI93" s="216">
        <v>56383</v>
      </c>
      <c r="BJ93" s="216">
        <v>-48653</v>
      </c>
      <c r="BK93" s="216">
        <v>30552</v>
      </c>
      <c r="BL93" s="216">
        <v>22867</v>
      </c>
      <c r="BM93" s="151"/>
      <c r="BO93" s="216">
        <v>-176</v>
      </c>
      <c r="BP93" s="216">
        <v>1583</v>
      </c>
      <c r="BQ93" s="216">
        <v>6173</v>
      </c>
      <c r="BR93" s="216">
        <v>2799</v>
      </c>
      <c r="BS93" s="216">
        <v>0</v>
      </c>
      <c r="BT93" s="216">
        <v>0</v>
      </c>
      <c r="BU93" s="216">
        <v>3374</v>
      </c>
      <c r="BV93" s="183">
        <v>162</v>
      </c>
      <c r="BW93" s="184">
        <v>0</v>
      </c>
      <c r="BX93" s="183">
        <v>0</v>
      </c>
      <c r="BY93" s="183">
        <v>3536</v>
      </c>
      <c r="BZ93" s="183">
        <v>18681</v>
      </c>
      <c r="CA93" s="183">
        <v>5897</v>
      </c>
      <c r="CB93" s="167"/>
      <c r="CC93" s="183">
        <v>-539</v>
      </c>
      <c r="CD93" s="183">
        <v>-2888</v>
      </c>
      <c r="CE93" s="180">
        <v>1758</v>
      </c>
      <c r="CF93" s="139">
        <v>30552</v>
      </c>
      <c r="CG93" s="216">
        <v>20938</v>
      </c>
      <c r="CH93" s="216">
        <v>2580</v>
      </c>
      <c r="CI93" s="216">
        <v>7034</v>
      </c>
      <c r="CJ93" s="212">
        <v>20.25</v>
      </c>
      <c r="CK93" s="144"/>
      <c r="CL93" s="130">
        <v>8</v>
      </c>
      <c r="CM93" s="228">
        <v>6436</v>
      </c>
      <c r="CN93" s="138"/>
      <c r="CO93" s="142">
        <v>3.9633920296570899</v>
      </c>
      <c r="CP93" s="142">
        <v>32.438433900291443</v>
      </c>
      <c r="CQ93" s="183">
        <v>-2574.8912367930393</v>
      </c>
      <c r="CR93" s="144"/>
      <c r="CS93"/>
      <c r="CU93" s="232">
        <v>65.935707744951557</v>
      </c>
      <c r="CV93" s="143">
        <v>300.497203231821</v>
      </c>
      <c r="CW93" s="146">
        <v>10.919623797296044</v>
      </c>
      <c r="CX93" s="143">
        <v>10044.437538844002</v>
      </c>
      <c r="CY93" s="131">
        <v>26947</v>
      </c>
      <c r="CZ93" s="229">
        <v>8165</v>
      </c>
      <c r="DA93" s="229">
        <v>57982</v>
      </c>
      <c r="DB93" s="216">
        <v>-49817</v>
      </c>
      <c r="DC93" s="229">
        <v>31340</v>
      </c>
      <c r="DD93" s="229">
        <v>25369</v>
      </c>
      <c r="DE93" s="151"/>
      <c r="DG93" s="229">
        <v>-115</v>
      </c>
      <c r="DH93" s="229">
        <v>1661</v>
      </c>
      <c r="DI93" s="229">
        <v>8438</v>
      </c>
      <c r="DJ93" s="229">
        <v>4623</v>
      </c>
      <c r="DK93" s="229">
        <v>0</v>
      </c>
      <c r="DL93" s="229">
        <v>0</v>
      </c>
      <c r="DM93" s="229">
        <v>3815</v>
      </c>
      <c r="DN93" s="130">
        <v>-1359</v>
      </c>
      <c r="DO93" s="131">
        <v>1550</v>
      </c>
      <c r="DP93" s="130">
        <v>0</v>
      </c>
      <c r="DQ93" s="130">
        <v>4006</v>
      </c>
      <c r="DR93" s="130">
        <v>22687</v>
      </c>
      <c r="DS93" s="130">
        <v>7817</v>
      </c>
      <c r="DT93" s="167"/>
      <c r="DU93" s="183">
        <v>-513</v>
      </c>
      <c r="DV93" s="183">
        <v>-2043</v>
      </c>
      <c r="DW93" s="180">
        <v>4391</v>
      </c>
      <c r="DX93" s="130">
        <v>31340</v>
      </c>
      <c r="DY93" s="229">
        <v>22001</v>
      </c>
      <c r="DZ93" s="229">
        <v>2733</v>
      </c>
      <c r="EA93" s="229">
        <v>6606</v>
      </c>
      <c r="EB93" s="212">
        <v>20.25</v>
      </c>
      <c r="EC93" s="208"/>
      <c r="ED93" s="183">
        <v>5</v>
      </c>
      <c r="EE93" s="3">
        <v>21380</v>
      </c>
      <c r="EF93" s="183">
        <v>21679</v>
      </c>
      <c r="EG93" s="130">
        <v>23197</v>
      </c>
      <c r="EH93" s="130"/>
      <c r="EI93" s="130"/>
      <c r="EJ93" s="130"/>
      <c r="EK93" s="183">
        <v>-1714</v>
      </c>
      <c r="EL93" s="183">
        <v>30</v>
      </c>
      <c r="EM93" s="183">
        <v>1575</v>
      </c>
      <c r="EN93" s="226">
        <v>-4470</v>
      </c>
      <c r="EO93" s="226">
        <v>22</v>
      </c>
      <c r="EP93" s="226">
        <v>309</v>
      </c>
      <c r="EQ93" s="226">
        <v>-4081</v>
      </c>
      <c r="ER93" s="230">
        <v>25</v>
      </c>
      <c r="ES93" s="230">
        <v>630</v>
      </c>
      <c r="ET93" s="3">
        <v>5</v>
      </c>
      <c r="EU93" s="211">
        <v>-262</v>
      </c>
      <c r="EV93" s="183">
        <v>2</v>
      </c>
      <c r="EW93" s="183">
        <v>2126</v>
      </c>
      <c r="EX93" s="130">
        <v>2</v>
      </c>
      <c r="EY93" s="183">
        <v>-1845</v>
      </c>
      <c r="EZ93" s="3">
        <v>17380</v>
      </c>
      <c r="FA93" s="3">
        <v>13618</v>
      </c>
      <c r="FB93" s="3">
        <v>3762</v>
      </c>
      <c r="FC93" s="3">
        <v>467</v>
      </c>
      <c r="FD93" s="226">
        <v>16620</v>
      </c>
      <c r="FE93" s="183">
        <v>10732</v>
      </c>
      <c r="FF93" s="183">
        <v>5888</v>
      </c>
      <c r="FG93" s="183">
        <v>301</v>
      </c>
      <c r="FH93" s="230">
        <v>12734</v>
      </c>
      <c r="FI93" s="130">
        <v>8691</v>
      </c>
      <c r="FJ93" s="130">
        <v>4043</v>
      </c>
      <c r="FK93" s="130">
        <v>601</v>
      </c>
      <c r="FL93" s="29">
        <v>6835.3014294592913</v>
      </c>
      <c r="FM93" s="139">
        <v>7723.694405702774</v>
      </c>
      <c r="FN93" s="139">
        <v>8125.0776880049716</v>
      </c>
      <c r="FO93" s="172">
        <f t="shared" si="3"/>
        <v>1086.4691358024691</v>
      </c>
      <c r="FP93" s="170">
        <f t="shared" si="4"/>
        <v>168.81123924836376</v>
      </c>
      <c r="FR93" s="175"/>
      <c r="FS93" s="195"/>
      <c r="FV93" s="175">
        <v>2822</v>
      </c>
      <c r="FW93" s="2">
        <f t="shared" si="5"/>
        <v>-2822</v>
      </c>
      <c r="FZ93" s="186"/>
      <c r="GA93" s="2"/>
      <c r="GB93" s="2"/>
    </row>
    <row r="94" spans="1:184" ht="13" x14ac:dyDescent="0.3">
      <c r="A94" s="77">
        <v>263</v>
      </c>
      <c r="B94" s="75" t="s">
        <v>91</v>
      </c>
      <c r="C94" s="179">
        <v>8153</v>
      </c>
      <c r="D94" s="138"/>
      <c r="E94" s="142">
        <v>0.71899777989216618</v>
      </c>
      <c r="F94" s="142">
        <v>58.627779343734971</v>
      </c>
      <c r="G94" s="183">
        <v>-3314.9760824236478</v>
      </c>
      <c r="H94" s="144"/>
      <c r="I94" s="186"/>
      <c r="K94" s="210">
        <v>45.530448104174646</v>
      </c>
      <c r="L94" s="143">
        <v>799.4603213541028</v>
      </c>
      <c r="M94" s="146">
        <v>35.883408748114633</v>
      </c>
      <c r="N94" s="143">
        <v>8131.9759597694092</v>
      </c>
      <c r="O94" s="138">
        <v>14940</v>
      </c>
      <c r="P94" s="143">
        <v>6663</v>
      </c>
      <c r="Q94" s="184">
        <v>58967</v>
      </c>
      <c r="R94" s="184">
        <v>-52304</v>
      </c>
      <c r="S94" s="139">
        <v>23055</v>
      </c>
      <c r="T94" s="138">
        <v>30688</v>
      </c>
      <c r="U94" s="151"/>
      <c r="W94" s="183">
        <v>-199</v>
      </c>
      <c r="X94" s="183">
        <v>811</v>
      </c>
      <c r="Y94" s="184">
        <v>2051</v>
      </c>
      <c r="Z94" s="130">
        <v>3141</v>
      </c>
      <c r="AA94" s="130">
        <v>0</v>
      </c>
      <c r="AB94" s="130">
        <v>459</v>
      </c>
      <c r="AC94" s="184">
        <v>-1549</v>
      </c>
      <c r="AD94" s="184">
        <v>19</v>
      </c>
      <c r="AE94" s="183">
        <v>0</v>
      </c>
      <c r="AF94" s="183">
        <v>0</v>
      </c>
      <c r="AG94" s="183">
        <v>-1530</v>
      </c>
      <c r="AH94" s="183">
        <v>-141</v>
      </c>
      <c r="AI94" s="183">
        <v>1610</v>
      </c>
      <c r="AJ94" s="167"/>
      <c r="AK94" s="183">
        <v>426</v>
      </c>
      <c r="AL94" s="183">
        <v>-2937</v>
      </c>
      <c r="AM94" s="180">
        <v>-1913</v>
      </c>
      <c r="AN94" s="139">
        <v>23055</v>
      </c>
      <c r="AO94" s="138">
        <v>19533</v>
      </c>
      <c r="AP94" s="184">
        <v>1814</v>
      </c>
      <c r="AQ94" s="138">
        <v>1708</v>
      </c>
      <c r="AR94" s="109">
        <v>20.75</v>
      </c>
      <c r="AS94" s="144"/>
      <c r="AT94" s="139">
        <v>136</v>
      </c>
      <c r="AU94" s="228">
        <v>7998</v>
      </c>
      <c r="AV94" s="138"/>
      <c r="AW94" s="224">
        <v>0.11944118588034552</v>
      </c>
      <c r="AX94" s="225">
        <v>63.490019317450098</v>
      </c>
      <c r="AY94" s="139">
        <v>-3660.2900725181294</v>
      </c>
      <c r="AZ94" s="144"/>
      <c r="BA94"/>
      <c r="BC94" s="189">
        <v>40.51887949000858</v>
      </c>
      <c r="BD94" s="183">
        <v>823.20580145036263</v>
      </c>
      <c r="BE94" s="140">
        <v>35.839708886999837</v>
      </c>
      <c r="BF94" s="139">
        <v>8383.7209302325573</v>
      </c>
      <c r="BG94" s="184">
        <v>15208</v>
      </c>
      <c r="BH94" s="216">
        <v>6969</v>
      </c>
      <c r="BI94" s="216">
        <v>61202</v>
      </c>
      <c r="BJ94" s="216">
        <v>-54154</v>
      </c>
      <c r="BK94" s="216">
        <v>23546</v>
      </c>
      <c r="BL94" s="216">
        <v>30052</v>
      </c>
      <c r="BM94" s="151"/>
      <c r="BO94" s="216">
        <v>-185</v>
      </c>
      <c r="BP94" s="216">
        <v>1100</v>
      </c>
      <c r="BQ94" s="216">
        <v>359</v>
      </c>
      <c r="BR94" s="216">
        <v>3639</v>
      </c>
      <c r="BS94" s="216">
        <v>0</v>
      </c>
      <c r="BT94" s="216">
        <v>0</v>
      </c>
      <c r="BU94" s="216">
        <v>-3280</v>
      </c>
      <c r="BV94" s="184">
        <v>19</v>
      </c>
      <c r="BW94" s="183">
        <v>0</v>
      </c>
      <c r="BX94" s="183">
        <v>0</v>
      </c>
      <c r="BY94" s="183">
        <v>-3261</v>
      </c>
      <c r="BZ94" s="183">
        <v>-3402</v>
      </c>
      <c r="CA94" s="183">
        <v>482</v>
      </c>
      <c r="CB94" s="167"/>
      <c r="CC94" s="183">
        <v>-781</v>
      </c>
      <c r="CD94" s="183">
        <v>-2267</v>
      </c>
      <c r="CE94" s="180">
        <v>-2437</v>
      </c>
      <c r="CF94" s="139">
        <v>23546</v>
      </c>
      <c r="CG94" s="216">
        <v>19910</v>
      </c>
      <c r="CH94" s="216">
        <v>1917</v>
      </c>
      <c r="CI94" s="216">
        <v>1719</v>
      </c>
      <c r="CJ94" s="212">
        <v>20.75</v>
      </c>
      <c r="CK94" s="144"/>
      <c r="CL94" s="130">
        <v>214</v>
      </c>
      <c r="CM94" s="228">
        <v>7854</v>
      </c>
      <c r="CN94" s="138"/>
      <c r="CO94" s="142">
        <v>2.8517816527672477</v>
      </c>
      <c r="CP94" s="142">
        <v>53.196665381078112</v>
      </c>
      <c r="CQ94" s="183">
        <v>-3235.4214413037944</v>
      </c>
      <c r="CR94" s="144"/>
      <c r="CS94"/>
      <c r="CU94" s="232">
        <v>45.152555705144692</v>
      </c>
      <c r="CV94" s="143">
        <v>1013.6236312706901</v>
      </c>
      <c r="CW94" s="146">
        <v>42.969433928782678</v>
      </c>
      <c r="CX94" s="143">
        <v>8610.1349630761397</v>
      </c>
      <c r="CY94" s="131">
        <v>14692</v>
      </c>
      <c r="CZ94" s="229">
        <v>7897</v>
      </c>
      <c r="DA94" s="229">
        <v>60868</v>
      </c>
      <c r="DB94" s="216">
        <v>-52971</v>
      </c>
      <c r="DC94" s="229">
        <v>24546</v>
      </c>
      <c r="DD94" s="229">
        <v>35054</v>
      </c>
      <c r="DE94" s="151"/>
      <c r="DG94" s="229">
        <v>-151</v>
      </c>
      <c r="DH94" s="229">
        <v>875</v>
      </c>
      <c r="DI94" s="229">
        <v>7353</v>
      </c>
      <c r="DJ94" s="229">
        <v>3945</v>
      </c>
      <c r="DK94" s="229">
        <v>0</v>
      </c>
      <c r="DL94" s="229">
        <v>0</v>
      </c>
      <c r="DM94" s="229">
        <v>3408</v>
      </c>
      <c r="DN94" s="131">
        <v>2</v>
      </c>
      <c r="DO94" s="130">
        <v>0</v>
      </c>
      <c r="DP94" s="130">
        <v>0</v>
      </c>
      <c r="DQ94" s="130">
        <v>3410</v>
      </c>
      <c r="DR94" s="130">
        <v>8</v>
      </c>
      <c r="DS94" s="130">
        <v>6608</v>
      </c>
      <c r="DT94" s="167"/>
      <c r="DU94" s="183">
        <v>105</v>
      </c>
      <c r="DV94" s="183">
        <v>-2468</v>
      </c>
      <c r="DW94" s="180">
        <v>3772</v>
      </c>
      <c r="DX94" s="130">
        <v>24546</v>
      </c>
      <c r="DY94" s="229">
        <v>20758</v>
      </c>
      <c r="DZ94" s="229">
        <v>2225</v>
      </c>
      <c r="EA94" s="229">
        <v>1563</v>
      </c>
      <c r="EB94" s="212">
        <v>21.75</v>
      </c>
      <c r="EC94" s="208"/>
      <c r="ED94" s="183">
        <v>49.9926470588236</v>
      </c>
      <c r="EE94" s="3">
        <v>38538</v>
      </c>
      <c r="EF94" s="183">
        <v>39822</v>
      </c>
      <c r="EG94" s="130">
        <v>39819</v>
      </c>
      <c r="EH94" s="130"/>
      <c r="EI94" s="130"/>
      <c r="EJ94" s="130">
        <v>900</v>
      </c>
      <c r="EK94" s="183">
        <v>-3964</v>
      </c>
      <c r="EL94" s="183">
        <v>419</v>
      </c>
      <c r="EM94" s="183">
        <v>22</v>
      </c>
      <c r="EN94" s="226">
        <v>-3302</v>
      </c>
      <c r="EO94" s="226">
        <v>317</v>
      </c>
      <c r="EP94" s="226">
        <v>66</v>
      </c>
      <c r="EQ94" s="226">
        <v>-3984</v>
      </c>
      <c r="ER94" s="230">
        <v>280</v>
      </c>
      <c r="ES94" s="230">
        <v>868</v>
      </c>
      <c r="ET94" s="3">
        <v>0</v>
      </c>
      <c r="EU94" s="211">
        <v>1800</v>
      </c>
      <c r="EV94" s="183">
        <v>5000</v>
      </c>
      <c r="EW94" s="183">
        <v>0</v>
      </c>
      <c r="EX94" s="130">
        <v>240</v>
      </c>
      <c r="EY94" s="183">
        <v>1000</v>
      </c>
      <c r="EZ94" s="3">
        <v>30242</v>
      </c>
      <c r="FA94" s="3">
        <v>12975</v>
      </c>
      <c r="FB94" s="3">
        <v>17267</v>
      </c>
      <c r="FC94" s="3">
        <v>919</v>
      </c>
      <c r="FD94" s="226">
        <v>32975</v>
      </c>
      <c r="FE94" s="183">
        <v>15508</v>
      </c>
      <c r="FF94" s="183">
        <v>17467</v>
      </c>
      <c r="FG94" s="183">
        <v>729</v>
      </c>
      <c r="FH94" s="230">
        <v>31747</v>
      </c>
      <c r="FI94" s="130">
        <v>13677</v>
      </c>
      <c r="FJ94" s="130">
        <v>18070</v>
      </c>
      <c r="FK94" s="130">
        <v>604</v>
      </c>
      <c r="FL94" s="29">
        <v>6908.8679013859937</v>
      </c>
      <c r="FM94" s="139">
        <v>7203.5508877219308</v>
      </c>
      <c r="FN94" s="139">
        <v>7096.3840081487142</v>
      </c>
      <c r="FO94" s="172">
        <f t="shared" si="3"/>
        <v>954.39080459770116</v>
      </c>
      <c r="FP94" s="170">
        <f t="shared" si="4"/>
        <v>121.51652719604037</v>
      </c>
      <c r="FR94" s="175"/>
      <c r="FS94" s="195"/>
      <c r="FV94" s="175">
        <v>3038</v>
      </c>
      <c r="FW94" s="2">
        <f t="shared" si="5"/>
        <v>-3038</v>
      </c>
      <c r="FZ94" s="186"/>
      <c r="GA94" s="2"/>
      <c r="GB94" s="2"/>
    </row>
    <row r="95" spans="1:184" ht="13" x14ac:dyDescent="0.3">
      <c r="A95" s="77">
        <v>265</v>
      </c>
      <c r="B95" s="75" t="s">
        <v>92</v>
      </c>
      <c r="C95" s="179">
        <v>1103</v>
      </c>
      <c r="D95" s="138"/>
      <c r="E95" s="142">
        <v>0.21574344023323616</v>
      </c>
      <c r="F95" s="142">
        <v>49.747729566094854</v>
      </c>
      <c r="G95" s="183">
        <v>-2675.4306436990023</v>
      </c>
      <c r="H95" s="144"/>
      <c r="I95" s="186"/>
      <c r="K95" s="210">
        <v>58.845299777942266</v>
      </c>
      <c r="L95" s="143">
        <v>1341.795104261106</v>
      </c>
      <c r="M95" s="146">
        <v>51.068254868595197</v>
      </c>
      <c r="N95" s="143">
        <v>9590.2085222121477</v>
      </c>
      <c r="O95" s="138">
        <v>2065</v>
      </c>
      <c r="P95" s="143">
        <v>1596</v>
      </c>
      <c r="Q95" s="184">
        <v>9632</v>
      </c>
      <c r="R95" s="184">
        <v>-8036</v>
      </c>
      <c r="S95" s="139">
        <v>3489</v>
      </c>
      <c r="T95" s="138">
        <v>4825</v>
      </c>
      <c r="U95" s="151"/>
      <c r="W95" s="183">
        <v>-35</v>
      </c>
      <c r="X95" s="183">
        <v>-204</v>
      </c>
      <c r="Y95" s="184">
        <v>39</v>
      </c>
      <c r="Z95" s="130">
        <v>777</v>
      </c>
      <c r="AA95" s="131">
        <v>0</v>
      </c>
      <c r="AB95" s="130">
        <v>0</v>
      </c>
      <c r="AC95" s="184">
        <v>-738</v>
      </c>
      <c r="AD95" s="183">
        <v>20</v>
      </c>
      <c r="AE95" s="183">
        <v>0</v>
      </c>
      <c r="AF95" s="183">
        <v>0</v>
      </c>
      <c r="AG95" s="183">
        <v>-718</v>
      </c>
      <c r="AH95" s="183">
        <v>3123</v>
      </c>
      <c r="AI95" s="183">
        <v>39</v>
      </c>
      <c r="AJ95" s="167"/>
      <c r="AK95" s="183">
        <v>248</v>
      </c>
      <c r="AL95" s="183">
        <v>-308</v>
      </c>
      <c r="AM95" s="180">
        <v>-313</v>
      </c>
      <c r="AN95" s="139">
        <v>3489</v>
      </c>
      <c r="AO95" s="138">
        <v>2441</v>
      </c>
      <c r="AP95" s="184">
        <v>609</v>
      </c>
      <c r="AQ95" s="138">
        <v>439</v>
      </c>
      <c r="AR95" s="109">
        <v>21.5</v>
      </c>
      <c r="AS95" s="144"/>
      <c r="AT95" s="139">
        <v>239</v>
      </c>
      <c r="AU95" s="228">
        <v>1096</v>
      </c>
      <c r="AV95" s="138"/>
      <c r="AW95" s="224">
        <v>-2.9823449524671797</v>
      </c>
      <c r="AX95" s="225">
        <v>45.941508465879942</v>
      </c>
      <c r="AY95" s="139">
        <v>-2693.4306569343066</v>
      </c>
      <c r="AZ95" s="144"/>
      <c r="BA95"/>
      <c r="BC95" s="189">
        <v>43.670715249662621</v>
      </c>
      <c r="BD95" s="183">
        <v>843.978102189781</v>
      </c>
      <c r="BE95" s="140">
        <v>28.10964948796936</v>
      </c>
      <c r="BF95" s="139">
        <v>10958.941605839416</v>
      </c>
      <c r="BG95" s="184">
        <v>2033</v>
      </c>
      <c r="BH95" s="216">
        <v>1537</v>
      </c>
      <c r="BI95" s="216">
        <v>9685</v>
      </c>
      <c r="BJ95" s="216">
        <v>-8148</v>
      </c>
      <c r="BK95" s="216">
        <v>3571</v>
      </c>
      <c r="BL95" s="216">
        <v>4637</v>
      </c>
      <c r="BM95" s="151"/>
      <c r="BO95" s="216">
        <v>-33</v>
      </c>
      <c r="BP95" s="216">
        <v>-1707</v>
      </c>
      <c r="BQ95" s="216">
        <v>-1680</v>
      </c>
      <c r="BR95" s="216">
        <v>620</v>
      </c>
      <c r="BS95" s="216">
        <v>0</v>
      </c>
      <c r="BT95" s="216">
        <v>0</v>
      </c>
      <c r="BU95" s="216">
        <v>-2300</v>
      </c>
      <c r="BV95" s="183">
        <v>20</v>
      </c>
      <c r="BW95" s="183">
        <v>0</v>
      </c>
      <c r="BX95" s="183">
        <v>0</v>
      </c>
      <c r="BY95" s="183">
        <v>-2280</v>
      </c>
      <c r="BZ95" s="183">
        <v>843</v>
      </c>
      <c r="CA95" s="183">
        <v>150</v>
      </c>
      <c r="CB95" s="167"/>
      <c r="CC95" s="183">
        <v>-102</v>
      </c>
      <c r="CD95" s="183">
        <v>-308</v>
      </c>
      <c r="CE95" s="180">
        <v>4</v>
      </c>
      <c r="CF95" s="139">
        <v>3571</v>
      </c>
      <c r="CG95" s="216">
        <v>2464</v>
      </c>
      <c r="CH95" s="216">
        <v>660</v>
      </c>
      <c r="CI95" s="216">
        <v>447</v>
      </c>
      <c r="CJ95" s="212">
        <v>21.5</v>
      </c>
      <c r="CK95" s="144"/>
      <c r="CL95" s="130">
        <v>294</v>
      </c>
      <c r="CM95" s="228">
        <v>1107</v>
      </c>
      <c r="CN95" s="138"/>
      <c r="CO95" s="142">
        <v>3.4575</v>
      </c>
      <c r="CP95" s="142">
        <v>55.561856157263016</v>
      </c>
      <c r="CQ95" s="183">
        <v>-3246.6124661246613</v>
      </c>
      <c r="CR95" s="144"/>
      <c r="CS95"/>
      <c r="CU95" s="232">
        <v>48.044692737430168</v>
      </c>
      <c r="CV95" s="143">
        <v>1540.1987353206866</v>
      </c>
      <c r="CW95" s="146">
        <v>61.707982151710461</v>
      </c>
      <c r="CX95" s="143">
        <v>9110.2077687443543</v>
      </c>
      <c r="CY95" s="131">
        <v>1916</v>
      </c>
      <c r="CZ95" s="229">
        <v>1559</v>
      </c>
      <c r="DA95" s="229">
        <v>9195</v>
      </c>
      <c r="DB95" s="216">
        <v>-7636</v>
      </c>
      <c r="DC95" s="229">
        <v>3894</v>
      </c>
      <c r="DD95" s="229">
        <v>5128</v>
      </c>
      <c r="DE95" s="151"/>
      <c r="DG95" s="229">
        <v>-35</v>
      </c>
      <c r="DH95" s="229">
        <v>-3</v>
      </c>
      <c r="DI95" s="229">
        <v>1348</v>
      </c>
      <c r="DJ95" s="229">
        <v>699</v>
      </c>
      <c r="DK95" s="229">
        <v>0</v>
      </c>
      <c r="DL95" s="229">
        <v>0</v>
      </c>
      <c r="DM95" s="229">
        <v>649</v>
      </c>
      <c r="DN95" s="130">
        <v>20</v>
      </c>
      <c r="DO95" s="130">
        <v>0</v>
      </c>
      <c r="DP95" s="130">
        <v>0</v>
      </c>
      <c r="DQ95" s="130">
        <v>669</v>
      </c>
      <c r="DR95" s="130">
        <v>1513</v>
      </c>
      <c r="DS95" s="130">
        <v>-402</v>
      </c>
      <c r="DT95" s="167"/>
      <c r="DU95" s="183">
        <v>21</v>
      </c>
      <c r="DV95" s="183">
        <v>-365</v>
      </c>
      <c r="DW95" s="180">
        <v>-604</v>
      </c>
      <c r="DX95" s="130">
        <v>3894</v>
      </c>
      <c r="DY95" s="229">
        <v>2680</v>
      </c>
      <c r="DZ95" s="229">
        <v>753</v>
      </c>
      <c r="EA95" s="229">
        <v>461</v>
      </c>
      <c r="EB95" s="212">
        <v>21.75</v>
      </c>
      <c r="EC95" s="208"/>
      <c r="ED95" s="183">
        <v>9</v>
      </c>
      <c r="EE95" s="3">
        <v>6422</v>
      </c>
      <c r="EF95" s="183">
        <v>6379</v>
      </c>
      <c r="EG95" s="130">
        <v>6256</v>
      </c>
      <c r="EH95" s="130"/>
      <c r="EI95" s="130"/>
      <c r="EJ95" s="130"/>
      <c r="EK95" s="183">
        <v>-396</v>
      </c>
      <c r="EL95" s="183">
        <v>44</v>
      </c>
      <c r="EM95" s="183">
        <v>0</v>
      </c>
      <c r="EN95" s="226">
        <v>-274</v>
      </c>
      <c r="EO95" s="226">
        <v>101</v>
      </c>
      <c r="EP95" s="226">
        <v>27</v>
      </c>
      <c r="EQ95" s="226">
        <v>-442</v>
      </c>
      <c r="ER95" s="230">
        <v>197</v>
      </c>
      <c r="ES95" s="230">
        <v>43</v>
      </c>
      <c r="ET95" s="3">
        <v>0</v>
      </c>
      <c r="EU95" s="211">
        <v>0</v>
      </c>
      <c r="EV95" s="183">
        <v>0</v>
      </c>
      <c r="EW95" s="183">
        <v>0</v>
      </c>
      <c r="EX95" s="130">
        <v>1708</v>
      </c>
      <c r="EY95" s="183">
        <v>0</v>
      </c>
      <c r="EZ95" s="3">
        <v>4250</v>
      </c>
      <c r="FA95" s="3">
        <v>3942</v>
      </c>
      <c r="FB95" s="3">
        <v>308</v>
      </c>
      <c r="FC95" s="3">
        <v>360</v>
      </c>
      <c r="FD95" s="226">
        <v>3942</v>
      </c>
      <c r="FE95" s="183">
        <v>3634</v>
      </c>
      <c r="FF95" s="183">
        <v>308</v>
      </c>
      <c r="FG95" s="183">
        <v>360</v>
      </c>
      <c r="FH95" s="230">
        <v>5285</v>
      </c>
      <c r="FI95" s="130">
        <v>4863</v>
      </c>
      <c r="FJ95" s="130">
        <v>422</v>
      </c>
      <c r="FK95" s="130">
        <v>402</v>
      </c>
      <c r="FL95" s="29">
        <v>7793.2910244786945</v>
      </c>
      <c r="FM95" s="139">
        <v>8514.5985401459857</v>
      </c>
      <c r="FN95" s="139">
        <v>10299.006323396567</v>
      </c>
      <c r="FO95" s="172">
        <f t="shared" si="3"/>
        <v>123.2183908045977</v>
      </c>
      <c r="FP95" s="170">
        <f t="shared" si="4"/>
        <v>111.30839277741435</v>
      </c>
      <c r="FR95" s="175"/>
      <c r="FS95" s="195"/>
      <c r="FV95" s="175">
        <v>97</v>
      </c>
      <c r="FW95" s="2">
        <f t="shared" si="5"/>
        <v>-97</v>
      </c>
      <c r="FZ95" s="186"/>
      <c r="GA95" s="2"/>
      <c r="GB95" s="2"/>
    </row>
    <row r="96" spans="1:184" ht="13" x14ac:dyDescent="0.3">
      <c r="A96" s="77">
        <v>271</v>
      </c>
      <c r="B96" s="75" t="s">
        <v>93</v>
      </c>
      <c r="C96" s="179">
        <v>7226</v>
      </c>
      <c r="D96" s="138"/>
      <c r="E96" s="142">
        <v>0.63826955074875213</v>
      </c>
      <c r="F96" s="142">
        <v>59.286161552911707</v>
      </c>
      <c r="G96" s="183">
        <v>-3532.7982286188762</v>
      </c>
      <c r="H96" s="144"/>
      <c r="I96" s="186"/>
      <c r="K96" s="210">
        <v>29.411906774544136</v>
      </c>
      <c r="L96" s="143">
        <v>136.59009133683918</v>
      </c>
      <c r="M96" s="146">
        <v>7.0382924684966293</v>
      </c>
      <c r="N96" s="143">
        <v>7083.448657625242</v>
      </c>
      <c r="O96" s="138">
        <v>16499</v>
      </c>
      <c r="P96" s="143">
        <v>4763</v>
      </c>
      <c r="Q96" s="184">
        <v>46266</v>
      </c>
      <c r="R96" s="184">
        <v>-41503</v>
      </c>
      <c r="S96" s="139">
        <v>25801</v>
      </c>
      <c r="T96" s="138">
        <v>17346</v>
      </c>
      <c r="U96" s="151"/>
      <c r="W96" s="183">
        <v>33</v>
      </c>
      <c r="X96" s="183">
        <v>109</v>
      </c>
      <c r="Y96" s="184">
        <v>1786</v>
      </c>
      <c r="Z96" s="130">
        <v>1590</v>
      </c>
      <c r="AA96" s="130">
        <v>0</v>
      </c>
      <c r="AB96" s="131">
        <v>455</v>
      </c>
      <c r="AC96" s="184">
        <v>-259</v>
      </c>
      <c r="AD96" s="183">
        <v>0</v>
      </c>
      <c r="AE96" s="183">
        <v>0</v>
      </c>
      <c r="AF96" s="183">
        <v>0</v>
      </c>
      <c r="AG96" s="183">
        <v>-259</v>
      </c>
      <c r="AH96" s="183">
        <v>21</v>
      </c>
      <c r="AI96" s="183">
        <v>1327</v>
      </c>
      <c r="AJ96" s="167"/>
      <c r="AK96" s="183">
        <v>232</v>
      </c>
      <c r="AL96" s="183">
        <v>-2873</v>
      </c>
      <c r="AM96" s="180">
        <v>-81</v>
      </c>
      <c r="AN96" s="139">
        <v>25801</v>
      </c>
      <c r="AO96" s="138">
        <v>22047</v>
      </c>
      <c r="AP96" s="184">
        <v>1229</v>
      </c>
      <c r="AQ96" s="138">
        <v>2525</v>
      </c>
      <c r="AR96" s="109">
        <v>21.75</v>
      </c>
      <c r="AS96" s="144"/>
      <c r="AT96" s="139">
        <v>140</v>
      </c>
      <c r="AU96" s="228">
        <v>7103</v>
      </c>
      <c r="AV96" s="138"/>
      <c r="AW96" s="224">
        <v>0.16070711128967458</v>
      </c>
      <c r="AX96" s="225">
        <v>60.008638775762066</v>
      </c>
      <c r="AY96" s="139">
        <v>-3871.6035477967057</v>
      </c>
      <c r="AZ96" s="144"/>
      <c r="BA96"/>
      <c r="BC96" s="189">
        <v>27.705491090935574</v>
      </c>
      <c r="BD96" s="183">
        <v>3.6604251724623396</v>
      </c>
      <c r="BE96" s="140">
        <v>0.17806882575899727</v>
      </c>
      <c r="BF96" s="139">
        <v>7503.0268900464589</v>
      </c>
      <c r="BG96" s="184">
        <v>17184</v>
      </c>
      <c r="BH96" s="216">
        <v>4945</v>
      </c>
      <c r="BI96" s="216">
        <v>48291</v>
      </c>
      <c r="BJ96" s="216">
        <v>-43346</v>
      </c>
      <c r="BK96" s="216">
        <v>25863</v>
      </c>
      <c r="BL96" s="216">
        <v>17810</v>
      </c>
      <c r="BM96" s="151"/>
      <c r="BO96" s="216">
        <v>34</v>
      </c>
      <c r="BP96" s="216">
        <v>66</v>
      </c>
      <c r="BQ96" s="216">
        <v>427</v>
      </c>
      <c r="BR96" s="216">
        <v>1658</v>
      </c>
      <c r="BS96" s="216">
        <v>93</v>
      </c>
      <c r="BT96" s="216">
        <v>0</v>
      </c>
      <c r="BU96" s="216">
        <v>-1138</v>
      </c>
      <c r="BV96" s="183">
        <v>0</v>
      </c>
      <c r="BW96" s="183">
        <v>0</v>
      </c>
      <c r="BX96" s="183">
        <v>0</v>
      </c>
      <c r="BY96" s="183">
        <v>-1138</v>
      </c>
      <c r="BZ96" s="183">
        <v>-744</v>
      </c>
      <c r="CA96" s="183">
        <v>484</v>
      </c>
      <c r="CB96" s="167"/>
      <c r="CC96" s="183">
        <v>239</v>
      </c>
      <c r="CD96" s="183">
        <v>-2364</v>
      </c>
      <c r="CE96" s="180">
        <v>-1632</v>
      </c>
      <c r="CF96" s="139">
        <v>25863</v>
      </c>
      <c r="CG96" s="216">
        <v>22135</v>
      </c>
      <c r="CH96" s="216">
        <v>1247</v>
      </c>
      <c r="CI96" s="216">
        <v>2481</v>
      </c>
      <c r="CJ96" s="212">
        <v>21.75</v>
      </c>
      <c r="CK96" s="144"/>
      <c r="CL96" s="130">
        <v>208</v>
      </c>
      <c r="CM96" s="228">
        <v>7013</v>
      </c>
      <c r="CN96" s="138"/>
      <c r="CO96" s="142">
        <v>1.2666226332012329</v>
      </c>
      <c r="CP96" s="142">
        <v>58.857912815744029</v>
      </c>
      <c r="CQ96" s="183">
        <v>-3819.0503350919721</v>
      </c>
      <c r="CR96" s="144"/>
      <c r="CS96"/>
      <c r="CU96" s="232">
        <v>31.861082913975942</v>
      </c>
      <c r="CV96" s="143">
        <v>343.6475117638671</v>
      </c>
      <c r="CW96" s="146">
        <v>15.160890022578032</v>
      </c>
      <c r="CX96" s="143">
        <v>8273.3494937972337</v>
      </c>
      <c r="CY96" s="131">
        <v>17014</v>
      </c>
      <c r="CZ96" s="229">
        <v>4776</v>
      </c>
      <c r="DA96" s="229">
        <v>47159</v>
      </c>
      <c r="DB96" s="216">
        <v>-42383</v>
      </c>
      <c r="DC96" s="229">
        <v>26590</v>
      </c>
      <c r="DD96" s="229">
        <v>21327</v>
      </c>
      <c r="DE96" s="151"/>
      <c r="DG96" s="229">
        <v>5</v>
      </c>
      <c r="DH96" s="229">
        <v>100</v>
      </c>
      <c r="DI96" s="229">
        <v>5639</v>
      </c>
      <c r="DJ96" s="229">
        <v>2300</v>
      </c>
      <c r="DK96" s="229">
        <v>0</v>
      </c>
      <c r="DL96" s="229">
        <v>0</v>
      </c>
      <c r="DM96" s="229">
        <v>3339</v>
      </c>
      <c r="DN96" s="130">
        <v>0</v>
      </c>
      <c r="DO96" s="130">
        <v>0</v>
      </c>
      <c r="DP96" s="130">
        <v>0</v>
      </c>
      <c r="DQ96" s="130">
        <v>3339</v>
      </c>
      <c r="DR96" s="130">
        <v>2595</v>
      </c>
      <c r="DS96" s="130">
        <v>5579</v>
      </c>
      <c r="DT96" s="167"/>
      <c r="DU96" s="183">
        <v>-171</v>
      </c>
      <c r="DV96" s="183">
        <v>-4428</v>
      </c>
      <c r="DW96" s="180">
        <v>864</v>
      </c>
      <c r="DX96" s="130">
        <v>26590</v>
      </c>
      <c r="DY96" s="229">
        <v>22895</v>
      </c>
      <c r="DZ96" s="229">
        <v>1302</v>
      </c>
      <c r="EA96" s="229">
        <v>2393</v>
      </c>
      <c r="EB96" s="212">
        <v>21.75</v>
      </c>
      <c r="EC96" s="208"/>
      <c r="ED96" s="183">
        <v>84.242647058823593</v>
      </c>
      <c r="EE96" s="3">
        <v>24547</v>
      </c>
      <c r="EF96" s="183">
        <v>25780</v>
      </c>
      <c r="EG96" s="130">
        <v>24880</v>
      </c>
      <c r="EH96" s="130"/>
      <c r="EI96" s="130"/>
      <c r="EJ96" s="130">
        <v>700</v>
      </c>
      <c r="EK96" s="183">
        <v>-1578</v>
      </c>
      <c r="EL96" s="183">
        <v>162</v>
      </c>
      <c r="EM96" s="183">
        <v>8</v>
      </c>
      <c r="EN96" s="226">
        <v>-2159</v>
      </c>
      <c r="EO96" s="226">
        <v>0</v>
      </c>
      <c r="EP96" s="226">
        <v>43</v>
      </c>
      <c r="EQ96" s="226">
        <v>-4801</v>
      </c>
      <c r="ER96" s="230">
        <v>8</v>
      </c>
      <c r="ES96" s="230">
        <v>78</v>
      </c>
      <c r="ET96" s="3">
        <v>0</v>
      </c>
      <c r="EU96" s="211">
        <v>1800</v>
      </c>
      <c r="EV96" s="183">
        <v>2500</v>
      </c>
      <c r="EW96" s="183">
        <v>500</v>
      </c>
      <c r="EX96" s="130">
        <v>10458</v>
      </c>
      <c r="EY96" s="183">
        <v>-5000</v>
      </c>
      <c r="EZ96" s="3">
        <v>22202</v>
      </c>
      <c r="FA96" s="3">
        <v>10339</v>
      </c>
      <c r="FB96" s="3">
        <v>11863</v>
      </c>
      <c r="FC96" s="3">
        <v>4954</v>
      </c>
      <c r="FD96" s="226">
        <v>22838</v>
      </c>
      <c r="FE96" s="183">
        <v>10225</v>
      </c>
      <c r="FF96" s="183">
        <v>12613</v>
      </c>
      <c r="FG96" s="183">
        <v>5069</v>
      </c>
      <c r="FH96" s="230">
        <v>23867</v>
      </c>
      <c r="FI96" s="130">
        <v>16077</v>
      </c>
      <c r="FJ96" s="130">
        <v>7790</v>
      </c>
      <c r="FK96" s="130">
        <v>3654</v>
      </c>
      <c r="FL96" s="29">
        <v>4741.4890672571264</v>
      </c>
      <c r="FM96" s="139">
        <v>4837.3926509925386</v>
      </c>
      <c r="FN96" s="139">
        <v>5097.3905603878511</v>
      </c>
      <c r="FO96" s="172">
        <f t="shared" si="3"/>
        <v>1052.6436781609195</v>
      </c>
      <c r="FP96" s="170">
        <f t="shared" si="4"/>
        <v>150.09891318421782</v>
      </c>
      <c r="FR96" s="175"/>
      <c r="FS96" s="195"/>
      <c r="FV96" s="175">
        <v>2577</v>
      </c>
      <c r="FW96" s="2">
        <f t="shared" si="5"/>
        <v>-2577</v>
      </c>
      <c r="FZ96" s="186"/>
      <c r="GA96" s="2"/>
      <c r="GB96" s="2"/>
    </row>
    <row r="97" spans="1:184" ht="13" x14ac:dyDescent="0.3">
      <c r="A97" s="77">
        <v>272</v>
      </c>
      <c r="B97" s="75" t="s">
        <v>94</v>
      </c>
      <c r="C97" s="179">
        <v>47657</v>
      </c>
      <c r="D97" s="138"/>
      <c r="E97" s="142">
        <v>0.16610603474244401</v>
      </c>
      <c r="F97" s="142">
        <v>76.766934687191281</v>
      </c>
      <c r="G97" s="183">
        <v>-4671.9684411524013</v>
      </c>
      <c r="H97" s="144"/>
      <c r="I97" s="186"/>
      <c r="K97" s="210">
        <v>44.553333571722298</v>
      </c>
      <c r="L97" s="143">
        <v>176.51132047757937</v>
      </c>
      <c r="M97" s="146">
        <v>7.4394498880586166</v>
      </c>
      <c r="N97" s="143">
        <v>8660.133873302977</v>
      </c>
      <c r="O97" s="138">
        <v>96984</v>
      </c>
      <c r="P97" s="143">
        <v>45568</v>
      </c>
      <c r="Q97" s="184">
        <v>311029</v>
      </c>
      <c r="R97" s="184">
        <v>-265461</v>
      </c>
      <c r="S97" s="139">
        <v>188014</v>
      </c>
      <c r="T97" s="138">
        <v>87938</v>
      </c>
      <c r="U97" s="151"/>
      <c r="W97" s="183">
        <v>-1759</v>
      </c>
      <c r="X97" s="183">
        <v>2644</v>
      </c>
      <c r="Y97" s="184">
        <v>11376</v>
      </c>
      <c r="Z97" s="130">
        <v>15085</v>
      </c>
      <c r="AA97" s="131">
        <v>0</v>
      </c>
      <c r="AB97" s="130">
        <v>0</v>
      </c>
      <c r="AC97" s="184">
        <v>-3709</v>
      </c>
      <c r="AD97" s="184">
        <v>322</v>
      </c>
      <c r="AE97" s="184">
        <v>2194</v>
      </c>
      <c r="AF97" s="184">
        <v>148</v>
      </c>
      <c r="AG97" s="183">
        <v>-1045</v>
      </c>
      <c r="AH97" s="183">
        <v>13759</v>
      </c>
      <c r="AI97" s="183">
        <v>9283</v>
      </c>
      <c r="AJ97" s="167"/>
      <c r="AK97" s="183">
        <v>-986</v>
      </c>
      <c r="AL97" s="183">
        <v>-77814</v>
      </c>
      <c r="AM97" s="180">
        <v>-3961</v>
      </c>
      <c r="AN97" s="139">
        <v>188014</v>
      </c>
      <c r="AO97" s="138">
        <v>156967</v>
      </c>
      <c r="AP97" s="184">
        <v>15715</v>
      </c>
      <c r="AQ97" s="138">
        <v>15332</v>
      </c>
      <c r="AR97" s="109">
        <v>21.75</v>
      </c>
      <c r="AS97" s="144"/>
      <c r="AT97" s="139">
        <v>144</v>
      </c>
      <c r="AU97" s="228">
        <v>47681</v>
      </c>
      <c r="AV97" s="138"/>
      <c r="AW97" s="224">
        <v>0.45126045315568875</v>
      </c>
      <c r="AX97" s="225">
        <v>77.04671523090289</v>
      </c>
      <c r="AY97" s="139">
        <v>-4900.987814852876</v>
      </c>
      <c r="AZ97" s="144"/>
      <c r="BA97"/>
      <c r="BC97" s="189">
        <v>43.365843847865818</v>
      </c>
      <c r="BD97" s="183">
        <v>235.71233824793944</v>
      </c>
      <c r="BE97" s="140">
        <v>10.637141775486707</v>
      </c>
      <c r="BF97" s="139">
        <v>8088.169291751431</v>
      </c>
      <c r="BG97" s="184">
        <v>100013</v>
      </c>
      <c r="BH97" s="216">
        <v>44984</v>
      </c>
      <c r="BI97" s="216">
        <v>320050</v>
      </c>
      <c r="BJ97" s="216">
        <v>-273234</v>
      </c>
      <c r="BK97" s="216">
        <v>195196</v>
      </c>
      <c r="BL97" s="216">
        <v>89006</v>
      </c>
      <c r="BM97" s="151"/>
      <c r="BO97" s="216">
        <v>-2026</v>
      </c>
      <c r="BP97" s="216">
        <v>2873</v>
      </c>
      <c r="BQ97" s="216">
        <v>11815</v>
      </c>
      <c r="BR97" s="216">
        <v>15059</v>
      </c>
      <c r="BS97" s="216">
        <v>0</v>
      </c>
      <c r="BT97" s="216">
        <v>0</v>
      </c>
      <c r="BU97" s="216">
        <v>-3244</v>
      </c>
      <c r="BV97" s="184">
        <v>452</v>
      </c>
      <c r="BW97" s="184">
        <v>137</v>
      </c>
      <c r="BX97" s="184">
        <v>162</v>
      </c>
      <c r="BY97" s="183">
        <v>-2493</v>
      </c>
      <c r="BZ97" s="183">
        <v>11374</v>
      </c>
      <c r="CA97" s="183">
        <v>7817</v>
      </c>
      <c r="CB97" s="167"/>
      <c r="CC97" s="183">
        <v>5791</v>
      </c>
      <c r="CD97" s="183">
        <v>-40982</v>
      </c>
      <c r="CE97" s="180">
        <v>-9714</v>
      </c>
      <c r="CF97" s="139">
        <v>195196</v>
      </c>
      <c r="CG97" s="216">
        <v>162710</v>
      </c>
      <c r="CH97" s="216">
        <v>16757</v>
      </c>
      <c r="CI97" s="216">
        <v>15729</v>
      </c>
      <c r="CJ97" s="212">
        <v>21.75</v>
      </c>
      <c r="CK97" s="144"/>
      <c r="CL97" s="130">
        <v>111</v>
      </c>
      <c r="CM97" s="228">
        <v>47772</v>
      </c>
      <c r="CN97" s="138"/>
      <c r="CO97" s="142">
        <v>0.74231541996720629</v>
      </c>
      <c r="CP97" s="142">
        <v>78.623311672847279</v>
      </c>
      <c r="CQ97" s="183">
        <v>-4741.8152892907983</v>
      </c>
      <c r="CR97" s="144"/>
      <c r="CS97"/>
      <c r="CU97" s="232">
        <v>42.724338520445734</v>
      </c>
      <c r="CV97" s="143">
        <v>912.39638281838734</v>
      </c>
      <c r="CW97" s="146">
        <v>40.581935473996758</v>
      </c>
      <c r="CX97" s="143">
        <v>8206.2295905551364</v>
      </c>
      <c r="CY97" s="131">
        <v>99442</v>
      </c>
      <c r="CZ97" s="229">
        <v>43100</v>
      </c>
      <c r="DA97" s="229">
        <v>324628</v>
      </c>
      <c r="DB97" s="216">
        <v>-281528</v>
      </c>
      <c r="DC97" s="229">
        <v>201924</v>
      </c>
      <c r="DD97" s="229">
        <v>109533</v>
      </c>
      <c r="DE97" s="151"/>
      <c r="DG97" s="229">
        <v>-2247</v>
      </c>
      <c r="DH97" s="229">
        <v>2097</v>
      </c>
      <c r="DI97" s="229">
        <v>29779</v>
      </c>
      <c r="DJ97" s="229">
        <v>17459</v>
      </c>
      <c r="DK97" s="229">
        <v>0</v>
      </c>
      <c r="DL97" s="229">
        <v>0</v>
      </c>
      <c r="DM97" s="229">
        <v>12320</v>
      </c>
      <c r="DN97" s="131">
        <v>-1677</v>
      </c>
      <c r="DO97" s="131">
        <v>2180</v>
      </c>
      <c r="DP97" s="131">
        <v>-486</v>
      </c>
      <c r="DQ97" s="130">
        <v>12337</v>
      </c>
      <c r="DR97" s="130">
        <v>24055</v>
      </c>
      <c r="DS97" s="130">
        <v>28509</v>
      </c>
      <c r="DT97" s="167"/>
      <c r="DU97" s="183">
        <v>1499</v>
      </c>
      <c r="DV97" s="183">
        <v>-40937</v>
      </c>
      <c r="DW97" s="180">
        <v>12872</v>
      </c>
      <c r="DX97" s="130">
        <v>201924</v>
      </c>
      <c r="DY97" s="229">
        <v>168285</v>
      </c>
      <c r="DZ97" s="229">
        <v>19140</v>
      </c>
      <c r="EA97" s="229">
        <v>14499</v>
      </c>
      <c r="EB97" s="212">
        <v>21.5</v>
      </c>
      <c r="EC97" s="208"/>
      <c r="ED97" s="183">
        <v>174.904411764705</v>
      </c>
      <c r="EE97" s="3">
        <v>183505</v>
      </c>
      <c r="EF97" s="183">
        <v>187835</v>
      </c>
      <c r="EG97" s="130">
        <v>193630</v>
      </c>
      <c r="EH97" s="130"/>
      <c r="EI97" s="130"/>
      <c r="EJ97" s="130"/>
      <c r="EK97" s="183">
        <v>-23100</v>
      </c>
      <c r="EL97" s="183">
        <v>1541</v>
      </c>
      <c r="EM97" s="183">
        <v>8315</v>
      </c>
      <c r="EN97" s="226">
        <v>-23678</v>
      </c>
      <c r="EO97" s="226">
        <v>332</v>
      </c>
      <c r="EP97" s="226">
        <v>5815</v>
      </c>
      <c r="EQ97" s="226">
        <v>-18814</v>
      </c>
      <c r="ER97" s="230">
        <v>1128</v>
      </c>
      <c r="ES97" s="230">
        <v>2049</v>
      </c>
      <c r="ET97" s="3">
        <v>52900</v>
      </c>
      <c r="EU97" s="211">
        <v>1000</v>
      </c>
      <c r="EV97" s="183">
        <v>43300</v>
      </c>
      <c r="EW97" s="183">
        <v>0</v>
      </c>
      <c r="EX97" s="130">
        <v>43500</v>
      </c>
      <c r="EY97" s="183">
        <v>20860</v>
      </c>
      <c r="EZ97" s="3">
        <v>220573</v>
      </c>
      <c r="FA97" s="3">
        <v>180256</v>
      </c>
      <c r="FB97" s="3">
        <v>40317</v>
      </c>
      <c r="FC97" s="3">
        <v>2948</v>
      </c>
      <c r="FD97" s="226">
        <v>222890</v>
      </c>
      <c r="FE97" s="183">
        <v>184988</v>
      </c>
      <c r="FF97" s="183">
        <v>37902</v>
      </c>
      <c r="FG97" s="183">
        <v>3361</v>
      </c>
      <c r="FH97" s="230">
        <v>246315</v>
      </c>
      <c r="FI97" s="130">
        <v>187552</v>
      </c>
      <c r="FJ97" s="130">
        <v>58763</v>
      </c>
      <c r="FK97" s="130">
        <v>9255</v>
      </c>
      <c r="FL97" s="29">
        <v>8573.6198249994759</v>
      </c>
      <c r="FM97" s="139">
        <v>8869.235125102241</v>
      </c>
      <c r="FN97" s="139">
        <v>9506.0705015490239</v>
      </c>
      <c r="FO97" s="172">
        <f t="shared" si="3"/>
        <v>7827.2093023255811</v>
      </c>
      <c r="FP97" s="170">
        <f t="shared" si="4"/>
        <v>163.84512480795405</v>
      </c>
      <c r="FR97" s="175"/>
      <c r="FS97" s="195"/>
      <c r="FV97" s="175">
        <v>25357</v>
      </c>
      <c r="FW97" s="2">
        <f t="shared" si="5"/>
        <v>-25357</v>
      </c>
      <c r="FZ97" s="186"/>
      <c r="GA97" s="2"/>
      <c r="GB97" s="2"/>
    </row>
    <row r="98" spans="1:184" ht="13" x14ac:dyDescent="0.3">
      <c r="B98" s="81" t="s">
        <v>377</v>
      </c>
      <c r="C98" s="179">
        <v>5488130</v>
      </c>
      <c r="D98" s="138"/>
      <c r="E98" s="142">
        <v>1.1218667063571479</v>
      </c>
      <c r="F98" s="142">
        <v>58.68132053012561</v>
      </c>
      <c r="G98" s="183">
        <v>-2782.6265048386244</v>
      </c>
      <c r="H98" s="144"/>
      <c r="I98" s="186"/>
      <c r="K98" s="210">
        <v>59.513878587260145</v>
      </c>
      <c r="L98" s="143">
        <v>888.60504397672787</v>
      </c>
      <c r="M98" s="140">
        <v>41.798853510929341</v>
      </c>
      <c r="N98" s="143">
        <v>7759.5630934398414</v>
      </c>
      <c r="O98" s="138">
        <v>13574638</v>
      </c>
      <c r="P98" s="143">
        <v>7812168</v>
      </c>
      <c r="Q98" s="138">
        <v>36914895</v>
      </c>
      <c r="R98" s="184">
        <v>-29102727</v>
      </c>
      <c r="S98" s="139">
        <v>22321220</v>
      </c>
      <c r="T98" s="139">
        <v>8456755</v>
      </c>
      <c r="U98" s="151"/>
      <c r="W98" s="183">
        <v>77497</v>
      </c>
      <c r="X98" s="183">
        <v>312458</v>
      </c>
      <c r="Y98" s="184">
        <v>2065203</v>
      </c>
      <c r="Z98" s="130">
        <v>2192453</v>
      </c>
      <c r="AA98" s="131">
        <v>45943</v>
      </c>
      <c r="AB98" s="131">
        <v>26114</v>
      </c>
      <c r="AC98" s="184">
        <v>-107421</v>
      </c>
      <c r="AD98" s="184">
        <v>-11544</v>
      </c>
      <c r="AE98" s="184">
        <v>49922</v>
      </c>
      <c r="AF98" s="184">
        <v>44732</v>
      </c>
      <c r="AG98" s="183">
        <v>-24311</v>
      </c>
      <c r="AH98" s="183">
        <v>11261407</v>
      </c>
      <c r="AI98" s="183">
        <v>1569289</v>
      </c>
      <c r="AK98" s="183">
        <v>-95006</v>
      </c>
      <c r="AL98" s="183">
        <v>-1822844</v>
      </c>
      <c r="AM98" s="180">
        <v>-1214884</v>
      </c>
      <c r="AN98" s="139">
        <v>22321220</v>
      </c>
      <c r="AO98" s="130">
        <v>18664568</v>
      </c>
      <c r="AP98" s="184">
        <v>1866127</v>
      </c>
      <c r="AQ98" s="138">
        <v>1790525</v>
      </c>
      <c r="AR98" s="109">
        <v>19.87</v>
      </c>
      <c r="AS98" s="144"/>
      <c r="AT98" s="143" t="s">
        <v>387</v>
      </c>
      <c r="AU98" s="228">
        <v>5495408</v>
      </c>
      <c r="AV98" s="138"/>
      <c r="AW98" s="224">
        <v>0.7093755419490988</v>
      </c>
      <c r="AX98" s="225">
        <v>62.067154779893912</v>
      </c>
      <c r="AY98" s="139">
        <v>-3029.5543115270057</v>
      </c>
      <c r="AZ98" s="144"/>
      <c r="BA98"/>
      <c r="BC98" s="189">
        <v>57.827627708032679</v>
      </c>
      <c r="BD98" s="183">
        <v>920.93598873823385</v>
      </c>
      <c r="BE98" s="140">
        <v>41.948926141035116</v>
      </c>
      <c r="BF98" s="139">
        <v>8013.1165875218003</v>
      </c>
      <c r="BG98" s="184">
        <v>13513374</v>
      </c>
      <c r="BH98" s="216">
        <v>7546090</v>
      </c>
      <c r="BI98" s="216">
        <v>37903026</v>
      </c>
      <c r="BJ98" s="216">
        <v>-30356936</v>
      </c>
      <c r="BK98" s="216">
        <v>22912315</v>
      </c>
      <c r="BL98" s="216">
        <v>8640795</v>
      </c>
      <c r="BM98" s="151"/>
      <c r="BO98" s="216">
        <v>68795</v>
      </c>
      <c r="BP98" s="216">
        <v>482647</v>
      </c>
      <c r="BQ98" s="216">
        <v>1747616</v>
      </c>
      <c r="BR98" s="216">
        <v>2305725</v>
      </c>
      <c r="BS98" s="216">
        <v>403902</v>
      </c>
      <c r="BT98" s="216">
        <v>9885</v>
      </c>
      <c r="BU98" s="216">
        <v>-164092</v>
      </c>
      <c r="BV98" s="184">
        <v>-4535</v>
      </c>
      <c r="BW98" s="184">
        <v>8374</v>
      </c>
      <c r="BX98" s="184">
        <v>28188</v>
      </c>
      <c r="BY98" s="183">
        <v>-132065</v>
      </c>
      <c r="BZ98" s="183">
        <v>11087957</v>
      </c>
      <c r="CA98" s="183">
        <v>1298911</v>
      </c>
      <c r="CC98" s="183">
        <v>-66136</v>
      </c>
      <c r="CD98" s="183">
        <v>-1779142</v>
      </c>
      <c r="CE98" s="180">
        <v>-1434149</v>
      </c>
      <c r="CF98" s="139">
        <v>22912315</v>
      </c>
      <c r="CG98" s="216">
        <v>19142606</v>
      </c>
      <c r="CH98" s="216">
        <v>1902907</v>
      </c>
      <c r="CI98" s="216">
        <v>1866802</v>
      </c>
      <c r="CJ98" s="212">
        <v>19.899999999999999</v>
      </c>
      <c r="CK98" s="144"/>
      <c r="CL98" s="130" t="s">
        <v>387</v>
      </c>
      <c r="CM98" s="228">
        <v>5503664</v>
      </c>
      <c r="CN98" s="138"/>
      <c r="CO98" s="142">
        <v>1.9886386140704735</v>
      </c>
      <c r="CP98" s="142">
        <v>59.956439650633136</v>
      </c>
      <c r="CQ98" s="183">
        <v>-2940.7692766128166</v>
      </c>
      <c r="CR98" s="144"/>
      <c r="CS98"/>
      <c r="CU98" s="232">
        <v>57.958734458090227</v>
      </c>
      <c r="CV98" s="143">
        <v>1172.7709031656002</v>
      </c>
      <c r="CW98" s="146">
        <v>52.565908978586457</v>
      </c>
      <c r="CX98" s="143">
        <v>8143.3268818736024</v>
      </c>
      <c r="CY98" s="184">
        <v>13613209</v>
      </c>
      <c r="CZ98" s="229">
        <v>7208017</v>
      </c>
      <c r="DA98" s="216">
        <v>38429313</v>
      </c>
      <c r="DB98" s="216">
        <v>-31221279</v>
      </c>
      <c r="DC98" s="216">
        <v>23825588</v>
      </c>
      <c r="DD98" s="216">
        <v>11005673</v>
      </c>
      <c r="DE98" s="151"/>
      <c r="DG98" s="216">
        <v>58142</v>
      </c>
      <c r="DH98" s="216">
        <v>404863</v>
      </c>
      <c r="DI98" s="216">
        <v>4072987</v>
      </c>
      <c r="DJ98" s="216">
        <v>2397525</v>
      </c>
      <c r="DK98" s="216">
        <v>90574</v>
      </c>
      <c r="DL98" s="216">
        <v>9330</v>
      </c>
      <c r="DM98" s="216">
        <v>1756706</v>
      </c>
      <c r="DN98" s="184">
        <v>-25237</v>
      </c>
      <c r="DO98" s="184">
        <v>-96451</v>
      </c>
      <c r="DP98" s="184">
        <v>-61014</v>
      </c>
      <c r="DQ98" s="183">
        <v>1574004</v>
      </c>
      <c r="DR98" s="183">
        <v>12581318</v>
      </c>
      <c r="DS98" s="183">
        <v>3702496</v>
      </c>
      <c r="DU98" s="183">
        <v>-31312</v>
      </c>
      <c r="DV98" s="183">
        <v>-1966295</v>
      </c>
      <c r="DW98" s="180">
        <v>381794</v>
      </c>
      <c r="DX98" s="183">
        <v>23825588</v>
      </c>
      <c r="DY98" s="216">
        <v>20124065</v>
      </c>
      <c r="DZ98" s="216">
        <v>1956930</v>
      </c>
      <c r="EA98" s="216">
        <v>1744593</v>
      </c>
      <c r="EB98" s="212">
        <v>19.98</v>
      </c>
      <c r="EC98" s="208"/>
      <c r="ED98" s="183" t="s">
        <v>387</v>
      </c>
      <c r="EE98" s="3">
        <v>18314272</v>
      </c>
      <c r="EF98" s="183">
        <v>19288076</v>
      </c>
      <c r="EG98" s="183">
        <v>19605831</v>
      </c>
      <c r="EH98" s="130"/>
      <c r="EI98" s="130">
        <v>10000</v>
      </c>
      <c r="EJ98" s="130">
        <v>60000</v>
      </c>
      <c r="EK98" s="183">
        <v>-3649545</v>
      </c>
      <c r="EL98" s="183">
        <v>120782</v>
      </c>
      <c r="EM98" s="183">
        <v>744590</v>
      </c>
      <c r="EN98" s="226">
        <v>-4048365</v>
      </c>
      <c r="EO98" s="226">
        <v>138051</v>
      </c>
      <c r="EP98" s="226">
        <v>1177254</v>
      </c>
      <c r="EQ98" s="226">
        <v>-4312042</v>
      </c>
      <c r="ER98" s="226">
        <v>185133</v>
      </c>
      <c r="ES98" s="226">
        <v>806207</v>
      </c>
      <c r="ET98" s="3">
        <v>2263664</v>
      </c>
      <c r="EU98" s="211">
        <v>148751</v>
      </c>
      <c r="EV98" s="227">
        <v>2830766</v>
      </c>
      <c r="EW98" s="183">
        <v>632620</v>
      </c>
      <c r="EX98" s="227">
        <v>3338105</v>
      </c>
      <c r="EY98" s="183">
        <v>-762131</v>
      </c>
      <c r="EZ98" s="3">
        <v>16729981</v>
      </c>
      <c r="FA98" s="3">
        <v>11682746</v>
      </c>
      <c r="FB98" s="3">
        <v>5047235</v>
      </c>
      <c r="FC98" s="3">
        <v>5765559</v>
      </c>
      <c r="FD98" s="226">
        <v>18420037</v>
      </c>
      <c r="FE98" s="183">
        <v>12599485</v>
      </c>
      <c r="FF98" s="183">
        <v>5820552</v>
      </c>
      <c r="FG98" s="183">
        <v>5548348</v>
      </c>
      <c r="FH98" s="230">
        <v>19033385</v>
      </c>
      <c r="FI98" s="130">
        <v>13927122</v>
      </c>
      <c r="FJ98" s="130">
        <v>5106263</v>
      </c>
      <c r="FK98" s="130">
        <v>5670611</v>
      </c>
      <c r="FL98" s="29">
        <v>6557.6436782656392</v>
      </c>
      <c r="FM98" s="139">
        <v>7105.3242998518035</v>
      </c>
      <c r="FN98" s="139">
        <v>7480.9228906415792</v>
      </c>
      <c r="FO98" s="172">
        <f t="shared" si="3"/>
        <v>1007210.4604604604</v>
      </c>
      <c r="FP98" s="170">
        <f t="shared" si="4"/>
        <v>183.00725852095266</v>
      </c>
      <c r="FR98" s="175"/>
      <c r="FS98" s="195"/>
      <c r="FV98" s="175">
        <v>1315633</v>
      </c>
      <c r="FW98" s="2">
        <f t="shared" si="5"/>
        <v>-1315633</v>
      </c>
      <c r="FZ98" s="186"/>
      <c r="GB98" s="2"/>
    </row>
    <row r="99" spans="1:184" ht="13" x14ac:dyDescent="0.3">
      <c r="A99" s="77">
        <v>273</v>
      </c>
      <c r="B99" s="75" t="s">
        <v>95</v>
      </c>
      <c r="C99" s="179">
        <v>3834</v>
      </c>
      <c r="D99" s="138"/>
      <c r="E99" s="142">
        <v>2.798183652875883</v>
      </c>
      <c r="F99" s="142">
        <v>29.162333224378212</v>
      </c>
      <c r="G99" s="183">
        <v>-1603.2863849765258</v>
      </c>
      <c r="H99" s="144"/>
      <c r="I99" s="186"/>
      <c r="K99" s="210">
        <v>67.682023248921524</v>
      </c>
      <c r="L99" s="143">
        <v>552.94731351069379</v>
      </c>
      <c r="M99" s="146">
        <v>22.658857979502198</v>
      </c>
      <c r="N99" s="143">
        <v>8907.1465832029207</v>
      </c>
      <c r="O99" s="138">
        <v>14743</v>
      </c>
      <c r="P99" s="143">
        <v>4475</v>
      </c>
      <c r="Q99" s="184">
        <v>30894</v>
      </c>
      <c r="R99" s="184">
        <v>-26419</v>
      </c>
      <c r="S99" s="139">
        <v>14856</v>
      </c>
      <c r="T99" s="138">
        <v>14322</v>
      </c>
      <c r="U99" s="151"/>
      <c r="W99" s="183">
        <v>-70</v>
      </c>
      <c r="X99" s="183">
        <v>12</v>
      </c>
      <c r="Y99" s="184">
        <v>2701</v>
      </c>
      <c r="Z99" s="130">
        <v>1552</v>
      </c>
      <c r="AA99" s="138">
        <v>0</v>
      </c>
      <c r="AB99" s="138">
        <v>0</v>
      </c>
      <c r="AC99" s="184">
        <v>1149</v>
      </c>
      <c r="AD99" s="184">
        <v>14</v>
      </c>
      <c r="AE99" s="184">
        <v>0</v>
      </c>
      <c r="AF99" s="184">
        <v>0</v>
      </c>
      <c r="AG99" s="183">
        <v>1163</v>
      </c>
      <c r="AH99" s="183">
        <v>13426</v>
      </c>
      <c r="AI99" s="183">
        <v>2633</v>
      </c>
      <c r="AJ99" s="167"/>
      <c r="AK99" s="183">
        <v>-27</v>
      </c>
      <c r="AL99" s="183">
        <v>-919</v>
      </c>
      <c r="AM99" s="180">
        <v>1003</v>
      </c>
      <c r="AN99" s="139">
        <v>14856</v>
      </c>
      <c r="AO99" s="138">
        <v>10418</v>
      </c>
      <c r="AP99" s="184">
        <v>762</v>
      </c>
      <c r="AQ99" s="138">
        <v>3676</v>
      </c>
      <c r="AR99" s="147">
        <v>20</v>
      </c>
      <c r="AS99" s="144"/>
      <c r="AT99" s="139">
        <v>13</v>
      </c>
      <c r="AU99" s="228">
        <v>3846</v>
      </c>
      <c r="AV99" s="138"/>
      <c r="AW99" s="224">
        <v>2.8688263409452999</v>
      </c>
      <c r="AX99" s="225">
        <v>26.345584643236876</v>
      </c>
      <c r="AY99" s="139">
        <v>-957.61830473218924</v>
      </c>
      <c r="AZ99" s="144"/>
      <c r="BA99"/>
      <c r="BC99" s="189">
        <v>70.108502024291496</v>
      </c>
      <c r="BD99" s="183">
        <v>1064.2225689027559</v>
      </c>
      <c r="BE99" s="140">
        <v>43.860867267549395</v>
      </c>
      <c r="BF99" s="139">
        <v>8856.2142485699424</v>
      </c>
      <c r="BG99" s="184">
        <v>15360</v>
      </c>
      <c r="BH99" s="216">
        <v>5012</v>
      </c>
      <c r="BI99" s="216">
        <v>32111</v>
      </c>
      <c r="BJ99" s="216">
        <v>-27099</v>
      </c>
      <c r="BK99" s="216">
        <v>15113</v>
      </c>
      <c r="BL99" s="216">
        <v>14674</v>
      </c>
      <c r="BM99" s="151"/>
      <c r="BO99" s="216">
        <v>-57</v>
      </c>
      <c r="BP99" s="216">
        <v>12</v>
      </c>
      <c r="BQ99" s="216">
        <v>2643</v>
      </c>
      <c r="BR99" s="216">
        <v>1551</v>
      </c>
      <c r="BS99" s="216">
        <v>0</v>
      </c>
      <c r="BT99" s="216">
        <v>0</v>
      </c>
      <c r="BU99" s="216">
        <v>1092</v>
      </c>
      <c r="BV99" s="184">
        <v>14</v>
      </c>
      <c r="BW99" s="184">
        <v>0</v>
      </c>
      <c r="BX99" s="184">
        <v>0</v>
      </c>
      <c r="BY99" s="183">
        <v>1106</v>
      </c>
      <c r="BZ99" s="183">
        <v>14533</v>
      </c>
      <c r="CA99" s="183">
        <v>2558</v>
      </c>
      <c r="CB99" s="167"/>
      <c r="CC99" s="183">
        <v>105</v>
      </c>
      <c r="CD99" s="183">
        <v>-921</v>
      </c>
      <c r="CE99" s="180">
        <v>1910</v>
      </c>
      <c r="CF99" s="139">
        <v>15113</v>
      </c>
      <c r="CG99" s="216">
        <v>10485</v>
      </c>
      <c r="CH99" s="216">
        <v>847</v>
      </c>
      <c r="CI99" s="216">
        <v>3781</v>
      </c>
      <c r="CJ99" s="212">
        <v>20</v>
      </c>
      <c r="CK99" s="144"/>
      <c r="CL99" s="130">
        <v>12</v>
      </c>
      <c r="CM99" s="228">
        <v>3925</v>
      </c>
      <c r="CN99" s="138"/>
      <c r="CO99" s="142">
        <v>3.7232876712328768</v>
      </c>
      <c r="CP99" s="142">
        <v>24.539209115281501</v>
      </c>
      <c r="CQ99" s="183">
        <v>-487.8980891719745</v>
      </c>
      <c r="CR99" s="144"/>
      <c r="CS99"/>
      <c r="CU99" s="232">
        <v>71.74675386219316</v>
      </c>
      <c r="CV99" s="143">
        <v>1375.7961783439491</v>
      </c>
      <c r="CW99" s="146">
        <v>55.466441536513294</v>
      </c>
      <c r="CX99" s="143">
        <v>9053.503184713376</v>
      </c>
      <c r="CY99" s="131">
        <v>15782</v>
      </c>
      <c r="CZ99" s="229">
        <v>4130</v>
      </c>
      <c r="DA99" s="229">
        <v>33179</v>
      </c>
      <c r="DB99" s="216">
        <v>-29049</v>
      </c>
      <c r="DC99" s="229">
        <v>15114</v>
      </c>
      <c r="DD99" s="229">
        <v>16635</v>
      </c>
      <c r="DE99" s="151"/>
      <c r="DG99" s="229">
        <v>-48</v>
      </c>
      <c r="DH99" s="229">
        <v>17</v>
      </c>
      <c r="DI99" s="229">
        <v>2669</v>
      </c>
      <c r="DJ99" s="229">
        <v>1605</v>
      </c>
      <c r="DK99" s="229">
        <v>0</v>
      </c>
      <c r="DL99" s="229">
        <v>0</v>
      </c>
      <c r="DM99" s="229">
        <v>1064</v>
      </c>
      <c r="DN99" s="131">
        <v>14</v>
      </c>
      <c r="DO99" s="131">
        <v>0</v>
      </c>
      <c r="DP99" s="131">
        <v>0</v>
      </c>
      <c r="DQ99" s="130">
        <v>1078</v>
      </c>
      <c r="DR99" s="130">
        <v>15612</v>
      </c>
      <c r="DS99" s="130">
        <v>2639</v>
      </c>
      <c r="DT99" s="167"/>
      <c r="DU99" s="183">
        <v>-81</v>
      </c>
      <c r="DV99" s="183">
        <v>-681</v>
      </c>
      <c r="DW99" s="180">
        <v>1684</v>
      </c>
      <c r="DX99" s="130">
        <v>15114</v>
      </c>
      <c r="DY99" s="229">
        <v>10750</v>
      </c>
      <c r="DZ99" s="229">
        <v>943</v>
      </c>
      <c r="EA99" s="229">
        <v>3421</v>
      </c>
      <c r="EB99" s="212">
        <v>20</v>
      </c>
      <c r="EC99" s="208"/>
      <c r="ED99" s="183">
        <v>144.683823529411</v>
      </c>
      <c r="EE99" s="3">
        <v>11987</v>
      </c>
      <c r="EF99" s="183">
        <v>12584</v>
      </c>
      <c r="EG99" s="130">
        <v>13330</v>
      </c>
      <c r="EH99" s="130"/>
      <c r="EI99" s="130"/>
      <c r="EJ99" s="130"/>
      <c r="EK99" s="183">
        <v>-1899</v>
      </c>
      <c r="EL99" s="183">
        <v>70</v>
      </c>
      <c r="EM99" s="183">
        <v>199</v>
      </c>
      <c r="EN99" s="226">
        <v>-962</v>
      </c>
      <c r="EO99" s="226">
        <v>4</v>
      </c>
      <c r="EP99" s="226">
        <v>310</v>
      </c>
      <c r="EQ99" s="226">
        <v>-1075</v>
      </c>
      <c r="ER99" s="230">
        <v>50</v>
      </c>
      <c r="ES99" s="230">
        <v>70</v>
      </c>
      <c r="ET99" s="3">
        <v>0</v>
      </c>
      <c r="EU99" s="211">
        <v>0</v>
      </c>
      <c r="EV99" s="183">
        <v>0</v>
      </c>
      <c r="EW99" s="183">
        <v>0</v>
      </c>
      <c r="EX99" s="130">
        <v>0</v>
      </c>
      <c r="EY99" s="183">
        <v>0</v>
      </c>
      <c r="EZ99" s="3">
        <v>6111</v>
      </c>
      <c r="FA99" s="3">
        <v>5192</v>
      </c>
      <c r="FB99" s="3">
        <v>919</v>
      </c>
      <c r="FC99" s="3">
        <v>1066</v>
      </c>
      <c r="FD99" s="226">
        <v>5191</v>
      </c>
      <c r="FE99" s="183">
        <v>4510</v>
      </c>
      <c r="FF99" s="183">
        <v>681</v>
      </c>
      <c r="FG99" s="183">
        <v>573</v>
      </c>
      <c r="FH99" s="230">
        <v>4510</v>
      </c>
      <c r="FI99" s="130">
        <v>4025</v>
      </c>
      <c r="FJ99" s="130">
        <v>485</v>
      </c>
      <c r="FK99" s="130">
        <v>718</v>
      </c>
      <c r="FL99" s="29">
        <v>2578.2472613458526</v>
      </c>
      <c r="FM99" s="139">
        <v>3728.5491419656782</v>
      </c>
      <c r="FN99" s="139">
        <v>3665.4777070063697</v>
      </c>
      <c r="FO99" s="172">
        <f t="shared" si="3"/>
        <v>537.5</v>
      </c>
      <c r="FP99" s="170">
        <f t="shared" si="4"/>
        <v>136.94267515923568</v>
      </c>
      <c r="FR99" s="175"/>
      <c r="FS99" s="195"/>
      <c r="FV99" s="175">
        <v>1391</v>
      </c>
      <c r="FW99" s="2">
        <f t="shared" si="5"/>
        <v>-1391</v>
      </c>
      <c r="FZ99" s="186"/>
      <c r="GA99" s="2"/>
      <c r="GB99" s="2"/>
    </row>
    <row r="100" spans="1:184" ht="13" x14ac:dyDescent="0.3">
      <c r="A100" s="77">
        <v>275</v>
      </c>
      <c r="B100" s="75" t="s">
        <v>96</v>
      </c>
      <c r="C100" s="179">
        <v>2698</v>
      </c>
      <c r="D100" s="138"/>
      <c r="E100" s="142">
        <v>8.2648622522957946E-2</v>
      </c>
      <c r="F100" s="142">
        <v>118.65920737153871</v>
      </c>
      <c r="G100" s="183">
        <v>-8502.223869532987</v>
      </c>
      <c r="H100" s="144"/>
      <c r="I100" s="186"/>
      <c r="K100" s="210">
        <v>30.362836723474437</v>
      </c>
      <c r="L100" s="143">
        <v>547.07190511489989</v>
      </c>
      <c r="M100" s="146">
        <v>21.973244147157192</v>
      </c>
      <c r="N100" s="143">
        <v>9087.4722016308388</v>
      </c>
      <c r="O100" s="138">
        <v>8943</v>
      </c>
      <c r="P100" s="143">
        <v>3562</v>
      </c>
      <c r="Q100" s="184">
        <v>21272</v>
      </c>
      <c r="R100" s="184">
        <v>-17710</v>
      </c>
      <c r="S100" s="139">
        <v>8917</v>
      </c>
      <c r="T100" s="138">
        <v>8792</v>
      </c>
      <c r="U100" s="151"/>
      <c r="W100" s="183">
        <v>-178</v>
      </c>
      <c r="X100" s="183">
        <v>150</v>
      </c>
      <c r="Y100" s="184">
        <v>-29</v>
      </c>
      <c r="Z100" s="130">
        <v>1365</v>
      </c>
      <c r="AA100" s="131">
        <v>0</v>
      </c>
      <c r="AB100" s="130">
        <v>0</v>
      </c>
      <c r="AC100" s="184">
        <v>-1394</v>
      </c>
      <c r="AD100" s="184">
        <v>0</v>
      </c>
      <c r="AE100" s="183">
        <v>0</v>
      </c>
      <c r="AF100" s="183">
        <v>0</v>
      </c>
      <c r="AG100" s="183">
        <v>-1394</v>
      </c>
      <c r="AH100" s="183">
        <v>2601</v>
      </c>
      <c r="AI100" s="183">
        <v>-29</v>
      </c>
      <c r="AJ100" s="167"/>
      <c r="AK100" s="183">
        <v>171</v>
      </c>
      <c r="AL100" s="183">
        <v>-1869</v>
      </c>
      <c r="AM100" s="180">
        <v>-951</v>
      </c>
      <c r="AN100" s="139">
        <v>8917</v>
      </c>
      <c r="AO100" s="138">
        <v>7329</v>
      </c>
      <c r="AP100" s="184">
        <v>806</v>
      </c>
      <c r="AQ100" s="138">
        <v>782</v>
      </c>
      <c r="AR100" s="109">
        <v>22</v>
      </c>
      <c r="AS100" s="144"/>
      <c r="AT100" s="139">
        <v>256</v>
      </c>
      <c r="AU100" s="228">
        <v>2627</v>
      </c>
      <c r="AV100" s="138"/>
      <c r="AW100" s="224">
        <v>-1.2748583404486533</v>
      </c>
      <c r="AX100" s="225">
        <v>122.99431763459501</v>
      </c>
      <c r="AY100" s="139">
        <v>-8940.6166730110399</v>
      </c>
      <c r="AZ100" s="144"/>
      <c r="BA100"/>
      <c r="BC100" s="189">
        <v>15.733585208082889</v>
      </c>
      <c r="BD100" s="183">
        <v>510.08755234107349</v>
      </c>
      <c r="BE100" s="140">
        <v>17.769300635785651</v>
      </c>
      <c r="BF100" s="139">
        <v>10477.731252379139</v>
      </c>
      <c r="BG100" s="184">
        <v>9178</v>
      </c>
      <c r="BH100" s="216">
        <v>3417</v>
      </c>
      <c r="BI100" s="216">
        <v>25048</v>
      </c>
      <c r="BJ100" s="216">
        <v>-21631</v>
      </c>
      <c r="BK100" s="216">
        <v>8824</v>
      </c>
      <c r="BL100" s="216">
        <v>8525</v>
      </c>
      <c r="BM100" s="151"/>
      <c r="BO100" s="216">
        <v>-190</v>
      </c>
      <c r="BP100" s="216">
        <v>155</v>
      </c>
      <c r="BQ100" s="216">
        <v>-4317</v>
      </c>
      <c r="BR100" s="216">
        <v>1232</v>
      </c>
      <c r="BS100" s="216">
        <v>0</v>
      </c>
      <c r="BT100" s="216">
        <v>0</v>
      </c>
      <c r="BU100" s="216">
        <v>-5549</v>
      </c>
      <c r="BV100" s="184">
        <v>0</v>
      </c>
      <c r="BW100" s="183">
        <v>0</v>
      </c>
      <c r="BX100" s="183">
        <v>0</v>
      </c>
      <c r="BY100" s="183">
        <v>-5549</v>
      </c>
      <c r="BZ100" s="183">
        <v>-2948</v>
      </c>
      <c r="CA100" s="183">
        <v>-495</v>
      </c>
      <c r="CB100" s="167"/>
      <c r="CC100" s="183">
        <v>112</v>
      </c>
      <c r="CD100" s="183">
        <v>-1952</v>
      </c>
      <c r="CE100" s="180">
        <v>-610</v>
      </c>
      <c r="CF100" s="139">
        <v>8824</v>
      </c>
      <c r="CG100" s="216">
        <v>7138</v>
      </c>
      <c r="CH100" s="216">
        <v>874</v>
      </c>
      <c r="CI100" s="216">
        <v>812</v>
      </c>
      <c r="CJ100" s="212">
        <v>22</v>
      </c>
      <c r="CK100" s="144"/>
      <c r="CL100" s="130">
        <v>295</v>
      </c>
      <c r="CM100" s="228">
        <v>2593</v>
      </c>
      <c r="CN100" s="138"/>
      <c r="CO100" s="142">
        <v>1.0296912114014252</v>
      </c>
      <c r="CP100" s="142">
        <v>120.11568678235345</v>
      </c>
      <c r="CQ100" s="183">
        <v>-9559.9691477053602</v>
      </c>
      <c r="CR100" s="144"/>
      <c r="CS100"/>
      <c r="CU100" s="232">
        <v>19.441959777245579</v>
      </c>
      <c r="CV100" s="143">
        <v>634.40030852294637</v>
      </c>
      <c r="CW100" s="146">
        <v>25.514171588832703</v>
      </c>
      <c r="CX100" s="143">
        <v>9075.5881218665636</v>
      </c>
      <c r="CY100" s="131">
        <v>8858</v>
      </c>
      <c r="CZ100" s="229">
        <v>3970</v>
      </c>
      <c r="DA100" s="229">
        <v>20532</v>
      </c>
      <c r="DB100" s="216">
        <v>-16562</v>
      </c>
      <c r="DC100" s="229">
        <v>8704</v>
      </c>
      <c r="DD100" s="229">
        <v>10492</v>
      </c>
      <c r="DE100" s="151"/>
      <c r="DG100" s="229">
        <v>-172</v>
      </c>
      <c r="DH100" s="229">
        <v>-52</v>
      </c>
      <c r="DI100" s="229">
        <v>2410</v>
      </c>
      <c r="DJ100" s="229">
        <v>1169</v>
      </c>
      <c r="DK100" s="229">
        <v>0</v>
      </c>
      <c r="DL100" s="229">
        <v>0</v>
      </c>
      <c r="DM100" s="229">
        <v>1241</v>
      </c>
      <c r="DN100" s="131">
        <v>0</v>
      </c>
      <c r="DO100" s="130">
        <v>0</v>
      </c>
      <c r="DP100" s="130">
        <v>0</v>
      </c>
      <c r="DQ100" s="130">
        <v>1241</v>
      </c>
      <c r="DR100" s="130">
        <v>-1707</v>
      </c>
      <c r="DS100" s="130">
        <v>-1214</v>
      </c>
      <c r="DT100" s="167"/>
      <c r="DU100" s="183">
        <v>-680</v>
      </c>
      <c r="DV100" s="183">
        <v>-2335</v>
      </c>
      <c r="DW100" s="180">
        <v>-1367</v>
      </c>
      <c r="DX100" s="130">
        <v>8704</v>
      </c>
      <c r="DY100" s="229">
        <v>7034</v>
      </c>
      <c r="DZ100" s="229">
        <v>940</v>
      </c>
      <c r="EA100" s="229">
        <v>730</v>
      </c>
      <c r="EB100" s="212">
        <v>22</v>
      </c>
      <c r="EC100" s="208"/>
      <c r="ED100" s="183">
        <v>56.036764705882398</v>
      </c>
      <c r="EE100" s="3">
        <v>10500</v>
      </c>
      <c r="EF100" s="183">
        <v>10099</v>
      </c>
      <c r="EG100" s="130">
        <v>9800</v>
      </c>
      <c r="EH100" s="130"/>
      <c r="EI100" s="130"/>
      <c r="EJ100" s="130">
        <v>360</v>
      </c>
      <c r="EK100" s="183">
        <v>-1117</v>
      </c>
      <c r="EL100" s="183">
        <v>172</v>
      </c>
      <c r="EM100" s="183">
        <v>23</v>
      </c>
      <c r="EN100" s="226">
        <v>-258</v>
      </c>
      <c r="EO100" s="226">
        <v>26</v>
      </c>
      <c r="EP100" s="226">
        <v>117</v>
      </c>
      <c r="EQ100" s="226">
        <v>-214</v>
      </c>
      <c r="ER100" s="230">
        <v>3</v>
      </c>
      <c r="ES100" s="230">
        <v>58</v>
      </c>
      <c r="ET100" s="3">
        <v>1864</v>
      </c>
      <c r="EU100" s="211">
        <v>66</v>
      </c>
      <c r="EV100" s="183">
        <v>1200</v>
      </c>
      <c r="EW100" s="183">
        <v>1023</v>
      </c>
      <c r="EX100" s="130">
        <v>3548</v>
      </c>
      <c r="EY100" s="183">
        <v>1861</v>
      </c>
      <c r="EZ100" s="3">
        <v>21604</v>
      </c>
      <c r="FA100" s="3">
        <v>19735</v>
      </c>
      <c r="FB100" s="3">
        <v>1869</v>
      </c>
      <c r="FC100" s="3">
        <v>837</v>
      </c>
      <c r="FD100" s="226">
        <v>21875</v>
      </c>
      <c r="FE100" s="183">
        <v>18983</v>
      </c>
      <c r="FF100" s="183">
        <v>2892</v>
      </c>
      <c r="FG100" s="183">
        <v>774</v>
      </c>
      <c r="FH100" s="230">
        <v>24949</v>
      </c>
      <c r="FI100" s="130">
        <v>20196</v>
      </c>
      <c r="FJ100" s="130">
        <v>4753</v>
      </c>
      <c r="FK100" s="130">
        <v>711</v>
      </c>
      <c r="FL100" s="29">
        <v>10363.973313565604</v>
      </c>
      <c r="FM100" s="139">
        <v>11118.38599162543</v>
      </c>
      <c r="FN100" s="139">
        <v>12655.996914770536</v>
      </c>
      <c r="FO100" s="172">
        <f t="shared" si="3"/>
        <v>319.72727272727275</v>
      </c>
      <c r="FP100" s="170">
        <f t="shared" si="4"/>
        <v>123.30400028047542</v>
      </c>
      <c r="FR100" s="175"/>
      <c r="FS100" s="195"/>
      <c r="FV100" s="175">
        <v>846</v>
      </c>
      <c r="FW100" s="2">
        <f t="shared" si="5"/>
        <v>-846</v>
      </c>
      <c r="FZ100" s="186"/>
      <c r="GA100" s="2"/>
      <c r="GB100" s="2"/>
    </row>
    <row r="101" spans="1:184" ht="13" x14ac:dyDescent="0.3">
      <c r="A101" s="77">
        <v>276</v>
      </c>
      <c r="B101" s="75" t="s">
        <v>97</v>
      </c>
      <c r="C101" s="179">
        <v>14849</v>
      </c>
      <c r="D101" s="138"/>
      <c r="E101" s="142">
        <v>9.2161317807441065E-2</v>
      </c>
      <c r="F101" s="142">
        <v>52.772025042252849</v>
      </c>
      <c r="G101" s="183">
        <v>-2608.4584820526634</v>
      </c>
      <c r="H101" s="144"/>
      <c r="I101" s="186"/>
      <c r="K101" s="210">
        <v>45.680047932893949</v>
      </c>
      <c r="L101" s="143">
        <v>140.2114620513166</v>
      </c>
      <c r="M101" s="146">
        <v>7.7379643206256103</v>
      </c>
      <c r="N101" s="143">
        <v>6613.7787056367433</v>
      </c>
      <c r="O101" s="138">
        <v>24031</v>
      </c>
      <c r="P101" s="143">
        <v>11689</v>
      </c>
      <c r="Q101" s="184">
        <v>83688</v>
      </c>
      <c r="R101" s="184">
        <v>-71999</v>
      </c>
      <c r="S101" s="139">
        <v>49314</v>
      </c>
      <c r="T101" s="138">
        <v>23015</v>
      </c>
      <c r="U101" s="151"/>
      <c r="W101" s="183">
        <v>-551</v>
      </c>
      <c r="X101" s="183">
        <v>311</v>
      </c>
      <c r="Y101" s="184">
        <v>90</v>
      </c>
      <c r="Z101" s="130">
        <v>3829</v>
      </c>
      <c r="AA101" s="130">
        <v>36</v>
      </c>
      <c r="AB101" s="131">
        <v>0</v>
      </c>
      <c r="AC101" s="184">
        <v>-3703</v>
      </c>
      <c r="AD101" s="183">
        <v>80</v>
      </c>
      <c r="AE101" s="184">
        <v>0</v>
      </c>
      <c r="AF101" s="183">
        <v>0</v>
      </c>
      <c r="AG101" s="183">
        <v>-3623</v>
      </c>
      <c r="AH101" s="183">
        <v>15667</v>
      </c>
      <c r="AI101" s="183">
        <v>-65</v>
      </c>
      <c r="AJ101" s="167"/>
      <c r="AK101" s="183">
        <v>-109</v>
      </c>
      <c r="AL101" s="183">
        <v>-6483</v>
      </c>
      <c r="AM101" s="180">
        <v>-6844</v>
      </c>
      <c r="AN101" s="139">
        <v>49314</v>
      </c>
      <c r="AO101" s="138">
        <v>45058</v>
      </c>
      <c r="AP101" s="184">
        <v>1444</v>
      </c>
      <c r="AQ101" s="138">
        <v>2812</v>
      </c>
      <c r="AR101" s="109">
        <v>20.5</v>
      </c>
      <c r="AS101" s="144"/>
      <c r="AT101" s="139">
        <v>250</v>
      </c>
      <c r="AU101" s="228">
        <v>14821</v>
      </c>
      <c r="AV101" s="138"/>
      <c r="AW101" s="224">
        <v>0.96527288638449549</v>
      </c>
      <c r="AX101" s="225">
        <v>52.637775664538331</v>
      </c>
      <c r="AY101" s="139">
        <v>-2613.1165238512922</v>
      </c>
      <c r="AZ101" s="144"/>
      <c r="BA101"/>
      <c r="BC101" s="189">
        <v>44.583605944480794</v>
      </c>
      <c r="BD101" s="183">
        <v>310.64030767154713</v>
      </c>
      <c r="BE101" s="140">
        <v>17.573070367155719</v>
      </c>
      <c r="BF101" s="139">
        <v>6452.1287362526145</v>
      </c>
      <c r="BG101" s="184">
        <v>24649</v>
      </c>
      <c r="BH101" s="216">
        <v>11231</v>
      </c>
      <c r="BI101" s="216">
        <v>83014</v>
      </c>
      <c r="BJ101" s="216">
        <v>-71783</v>
      </c>
      <c r="BK101" s="216">
        <v>52704</v>
      </c>
      <c r="BL101" s="216">
        <v>24397</v>
      </c>
      <c r="BM101" s="151"/>
      <c r="BO101" s="216">
        <v>-466</v>
      </c>
      <c r="BP101" s="216">
        <v>322</v>
      </c>
      <c r="BQ101" s="216">
        <v>5174</v>
      </c>
      <c r="BR101" s="216">
        <v>5134</v>
      </c>
      <c r="BS101" s="216">
        <v>0</v>
      </c>
      <c r="BT101" s="216">
        <v>0</v>
      </c>
      <c r="BU101" s="216">
        <v>40</v>
      </c>
      <c r="BV101" s="183">
        <v>173</v>
      </c>
      <c r="BW101" s="184">
        <v>0</v>
      </c>
      <c r="BX101" s="183">
        <v>0</v>
      </c>
      <c r="BY101" s="183">
        <v>213</v>
      </c>
      <c r="BZ101" s="183">
        <v>15880</v>
      </c>
      <c r="CA101" s="183">
        <v>4695</v>
      </c>
      <c r="CB101" s="167"/>
      <c r="CC101" s="183">
        <v>362</v>
      </c>
      <c r="CD101" s="183">
        <v>-6712</v>
      </c>
      <c r="CE101" s="180">
        <v>-118</v>
      </c>
      <c r="CF101" s="139">
        <v>52704</v>
      </c>
      <c r="CG101" s="216">
        <v>47876</v>
      </c>
      <c r="CH101" s="216">
        <v>1923</v>
      </c>
      <c r="CI101" s="216">
        <v>2905</v>
      </c>
      <c r="CJ101" s="212">
        <v>20.5</v>
      </c>
      <c r="CK101" s="144"/>
      <c r="CL101" s="130">
        <v>73</v>
      </c>
      <c r="CM101" s="228">
        <v>14857</v>
      </c>
      <c r="CN101" s="138"/>
      <c r="CO101" s="142">
        <v>1.5016976775770745</v>
      </c>
      <c r="CP101" s="142">
        <v>53.744484068614483</v>
      </c>
      <c r="CQ101" s="183">
        <v>-2368.0420004038501</v>
      </c>
      <c r="CR101" s="144"/>
      <c r="CS101"/>
      <c r="CU101" s="232">
        <v>45.387689518787077</v>
      </c>
      <c r="CV101" s="143">
        <v>835.63303493302817</v>
      </c>
      <c r="CW101" s="146">
        <v>45.356477959722945</v>
      </c>
      <c r="CX101" s="143">
        <v>6724.6415830921451</v>
      </c>
      <c r="CY101" s="131">
        <v>24293</v>
      </c>
      <c r="CZ101" s="229">
        <v>10610</v>
      </c>
      <c r="DA101" s="229">
        <v>83772</v>
      </c>
      <c r="DB101" s="216">
        <v>-73162</v>
      </c>
      <c r="DC101" s="229">
        <v>54019</v>
      </c>
      <c r="DD101" s="229">
        <v>29870</v>
      </c>
      <c r="DE101" s="151"/>
      <c r="DG101" s="229">
        <v>-414</v>
      </c>
      <c r="DH101" s="229">
        <v>324</v>
      </c>
      <c r="DI101" s="229">
        <v>10637</v>
      </c>
      <c r="DJ101" s="229">
        <v>4731</v>
      </c>
      <c r="DK101" s="229">
        <v>0</v>
      </c>
      <c r="DL101" s="229">
        <v>0</v>
      </c>
      <c r="DM101" s="229">
        <v>5906</v>
      </c>
      <c r="DN101" s="130">
        <v>80</v>
      </c>
      <c r="DO101" s="131">
        <v>-4500</v>
      </c>
      <c r="DP101" s="130">
        <v>0</v>
      </c>
      <c r="DQ101" s="130">
        <v>1486</v>
      </c>
      <c r="DR101" s="130">
        <v>17366</v>
      </c>
      <c r="DS101" s="130">
        <v>11500</v>
      </c>
      <c r="DT101" s="167"/>
      <c r="DU101" s="183">
        <v>-30</v>
      </c>
      <c r="DV101" s="183">
        <v>-6943</v>
      </c>
      <c r="DW101" s="180">
        <v>3239</v>
      </c>
      <c r="DX101" s="130">
        <v>54019</v>
      </c>
      <c r="DY101" s="229">
        <v>49067</v>
      </c>
      <c r="DZ101" s="229">
        <v>2340</v>
      </c>
      <c r="EA101" s="229">
        <v>2612</v>
      </c>
      <c r="EB101" s="212">
        <v>20.5</v>
      </c>
      <c r="EC101" s="208"/>
      <c r="ED101" s="183">
        <v>126.55147058823501</v>
      </c>
      <c r="EE101" s="3">
        <v>50463</v>
      </c>
      <c r="EF101" s="183">
        <v>48747</v>
      </c>
      <c r="EG101" s="130">
        <v>49525</v>
      </c>
      <c r="EH101" s="130"/>
      <c r="EI101" s="130"/>
      <c r="EJ101" s="130"/>
      <c r="EK101" s="183">
        <v>-7474</v>
      </c>
      <c r="EL101" s="183">
        <v>448</v>
      </c>
      <c r="EM101" s="183">
        <v>247</v>
      </c>
      <c r="EN101" s="226">
        <v>-5394</v>
      </c>
      <c r="EO101" s="226">
        <v>75</v>
      </c>
      <c r="EP101" s="226">
        <v>506</v>
      </c>
      <c r="EQ101" s="226">
        <v>-8773</v>
      </c>
      <c r="ER101" s="230">
        <v>0</v>
      </c>
      <c r="ES101" s="230">
        <v>512</v>
      </c>
      <c r="ET101" s="3">
        <v>5000</v>
      </c>
      <c r="EU101" s="211">
        <v>6000</v>
      </c>
      <c r="EV101" s="183">
        <v>10000</v>
      </c>
      <c r="EW101" s="183">
        <v>-3366</v>
      </c>
      <c r="EX101" s="130">
        <v>10000</v>
      </c>
      <c r="EY101" s="183">
        <v>795</v>
      </c>
      <c r="EZ101" s="3">
        <v>36971</v>
      </c>
      <c r="FA101" s="3">
        <v>24758</v>
      </c>
      <c r="FB101" s="3">
        <v>12213</v>
      </c>
      <c r="FC101" s="3">
        <v>23</v>
      </c>
      <c r="FD101" s="226">
        <v>39821</v>
      </c>
      <c r="FE101" s="183">
        <v>27814</v>
      </c>
      <c r="FF101" s="183">
        <v>12007</v>
      </c>
      <c r="FG101" s="183">
        <v>44</v>
      </c>
      <c r="FH101" s="230">
        <v>43674</v>
      </c>
      <c r="FI101" s="130">
        <v>30570</v>
      </c>
      <c r="FJ101" s="130">
        <v>13104</v>
      </c>
      <c r="FK101" s="130">
        <v>45</v>
      </c>
      <c r="FL101" s="29">
        <v>4643.2756414573369</v>
      </c>
      <c r="FM101" s="139">
        <v>4835.3012617232307</v>
      </c>
      <c r="FN101" s="139">
        <v>4809.7866325637742</v>
      </c>
      <c r="FO101" s="172">
        <f t="shared" si="3"/>
        <v>2393.5121951219512</v>
      </c>
      <c r="FP101" s="170">
        <f t="shared" si="4"/>
        <v>161.10333143447207</v>
      </c>
      <c r="FR101" s="175"/>
      <c r="FS101" s="195"/>
      <c r="FV101" s="175">
        <v>5816</v>
      </c>
      <c r="FW101" s="2">
        <f t="shared" si="5"/>
        <v>-5816</v>
      </c>
      <c r="FZ101" s="186"/>
      <c r="GA101" s="2"/>
      <c r="GB101" s="2"/>
    </row>
    <row r="102" spans="1:184" ht="13" x14ac:dyDescent="0.3">
      <c r="A102" s="77">
        <v>280</v>
      </c>
      <c r="B102" s="75" t="s">
        <v>98</v>
      </c>
      <c r="C102" s="179">
        <v>2122</v>
      </c>
      <c r="D102" s="138"/>
      <c r="E102" s="142">
        <v>0.28921568627450983</v>
      </c>
      <c r="F102" s="142">
        <v>18.020256067265432</v>
      </c>
      <c r="G102" s="183">
        <v>-929.31196983977384</v>
      </c>
      <c r="H102" s="144"/>
      <c r="I102" s="186"/>
      <c r="K102" s="210">
        <v>71.102200671391273</v>
      </c>
      <c r="L102" s="143">
        <v>211.12158341187558</v>
      </c>
      <c r="M102" s="146">
        <v>9.1978850264371701</v>
      </c>
      <c r="N102" s="143">
        <v>8377.9453345900092</v>
      </c>
      <c r="O102" s="138">
        <v>5846</v>
      </c>
      <c r="P102" s="143">
        <v>2525</v>
      </c>
      <c r="Q102" s="184">
        <v>15177</v>
      </c>
      <c r="R102" s="184">
        <v>-12652</v>
      </c>
      <c r="S102" s="139">
        <v>6639</v>
      </c>
      <c r="T102" s="138">
        <v>6535</v>
      </c>
      <c r="U102" s="151"/>
      <c r="W102" s="183">
        <v>-30</v>
      </c>
      <c r="X102" s="183">
        <v>9</v>
      </c>
      <c r="Y102" s="184">
        <v>501</v>
      </c>
      <c r="Z102" s="130">
        <v>1035</v>
      </c>
      <c r="AA102" s="130">
        <v>0</v>
      </c>
      <c r="AB102" s="130">
        <v>0</v>
      </c>
      <c r="AC102" s="184">
        <v>-534</v>
      </c>
      <c r="AD102" s="183">
        <v>320</v>
      </c>
      <c r="AE102" s="183">
        <v>0</v>
      </c>
      <c r="AF102" s="183">
        <v>0</v>
      </c>
      <c r="AG102" s="183">
        <v>-214</v>
      </c>
      <c r="AH102" s="183">
        <v>5130</v>
      </c>
      <c r="AI102" s="183">
        <v>501</v>
      </c>
      <c r="AJ102" s="167"/>
      <c r="AK102" s="183">
        <v>20</v>
      </c>
      <c r="AL102" s="183">
        <v>-1806</v>
      </c>
      <c r="AM102" s="180">
        <v>-166</v>
      </c>
      <c r="AN102" s="139">
        <v>6639</v>
      </c>
      <c r="AO102" s="138">
        <v>5066</v>
      </c>
      <c r="AP102" s="184">
        <v>852</v>
      </c>
      <c r="AQ102" s="138">
        <v>721</v>
      </c>
      <c r="AR102" s="109">
        <v>21</v>
      </c>
      <c r="AS102" s="144"/>
      <c r="AT102" s="139">
        <v>145</v>
      </c>
      <c r="AU102" s="228">
        <v>2077</v>
      </c>
      <c r="AV102" s="138"/>
      <c r="AW102" s="224">
        <v>1.3801560758082496</v>
      </c>
      <c r="AX102" s="225">
        <v>25.991379310344829</v>
      </c>
      <c r="AY102" s="139">
        <v>-1249.398170438132</v>
      </c>
      <c r="AZ102" s="144"/>
      <c r="BA102"/>
      <c r="BC102" s="189">
        <v>65.340450345384411</v>
      </c>
      <c r="BD102" s="183">
        <v>588.83004333172846</v>
      </c>
      <c r="BE102" s="140">
        <v>27.374440424357637</v>
      </c>
      <c r="BF102" s="139">
        <v>7851.2277323062108</v>
      </c>
      <c r="BG102" s="184">
        <v>5971</v>
      </c>
      <c r="BH102" s="216">
        <v>2328</v>
      </c>
      <c r="BI102" s="216">
        <v>15633</v>
      </c>
      <c r="BJ102" s="216">
        <v>-13305</v>
      </c>
      <c r="BK102" s="216">
        <v>6917</v>
      </c>
      <c r="BL102" s="216">
        <v>6995</v>
      </c>
      <c r="BM102" s="151"/>
      <c r="BO102" s="216">
        <v>-24</v>
      </c>
      <c r="BP102" s="216">
        <v>12</v>
      </c>
      <c r="BQ102" s="216">
        <v>595</v>
      </c>
      <c r="BR102" s="216">
        <v>1277</v>
      </c>
      <c r="BS102" s="216">
        <v>0</v>
      </c>
      <c r="BT102" s="216">
        <v>0</v>
      </c>
      <c r="BU102" s="216">
        <v>-682</v>
      </c>
      <c r="BV102" s="183">
        <v>568</v>
      </c>
      <c r="BW102" s="183">
        <v>0</v>
      </c>
      <c r="BX102" s="183">
        <v>0</v>
      </c>
      <c r="BY102" s="183">
        <v>-114</v>
      </c>
      <c r="BZ102" s="183">
        <v>5015</v>
      </c>
      <c r="CA102" s="183">
        <v>595</v>
      </c>
      <c r="CB102" s="167"/>
      <c r="CC102" s="183">
        <v>5</v>
      </c>
      <c r="CD102" s="183">
        <v>0</v>
      </c>
      <c r="CE102" s="180">
        <v>-52</v>
      </c>
      <c r="CF102" s="139">
        <v>6917</v>
      </c>
      <c r="CG102" s="216">
        <v>5472</v>
      </c>
      <c r="CH102" s="216">
        <v>717</v>
      </c>
      <c r="CI102" s="216">
        <v>728</v>
      </c>
      <c r="CJ102" s="212">
        <v>21.5</v>
      </c>
      <c r="CK102" s="144"/>
      <c r="CL102" s="130">
        <v>94</v>
      </c>
      <c r="CM102" s="228">
        <v>2068</v>
      </c>
      <c r="CN102" s="138"/>
      <c r="CO102" s="142">
        <v>27.277777777777779</v>
      </c>
      <c r="CP102" s="142">
        <v>31.262977891779652</v>
      </c>
      <c r="CQ102" s="183">
        <v>-1831.7214700193424</v>
      </c>
      <c r="CR102" s="144"/>
      <c r="CS102"/>
      <c r="CU102" s="232">
        <v>61.140034708316648</v>
      </c>
      <c r="CV102" s="143">
        <v>465.18375241779495</v>
      </c>
      <c r="CW102" s="146">
        <v>19.950568181818181</v>
      </c>
      <c r="CX102" s="143">
        <v>8510.6382978723395</v>
      </c>
      <c r="CY102" s="131">
        <v>6292</v>
      </c>
      <c r="CZ102" s="229">
        <v>2228</v>
      </c>
      <c r="DA102" s="229">
        <v>15914</v>
      </c>
      <c r="DB102" s="216">
        <v>-13686</v>
      </c>
      <c r="DC102" s="229">
        <v>6606</v>
      </c>
      <c r="DD102" s="229">
        <v>7540</v>
      </c>
      <c r="DE102" s="151"/>
      <c r="DG102" s="229">
        <v>-15</v>
      </c>
      <c r="DH102" s="229">
        <v>28</v>
      </c>
      <c r="DI102" s="229">
        <v>473</v>
      </c>
      <c r="DJ102" s="229">
        <v>1300</v>
      </c>
      <c r="DK102" s="229">
        <v>0</v>
      </c>
      <c r="DL102" s="229">
        <v>0</v>
      </c>
      <c r="DM102" s="229">
        <v>-827</v>
      </c>
      <c r="DN102" s="130">
        <v>576</v>
      </c>
      <c r="DO102" s="130">
        <v>0</v>
      </c>
      <c r="DP102" s="130">
        <v>0</v>
      </c>
      <c r="DQ102" s="130">
        <v>-251</v>
      </c>
      <c r="DR102" s="130">
        <v>4764</v>
      </c>
      <c r="DS102" s="130">
        <v>473</v>
      </c>
      <c r="DT102" s="167"/>
      <c r="DU102" s="183">
        <v>34</v>
      </c>
      <c r="DV102" s="183">
        <v>0</v>
      </c>
      <c r="DW102" s="180">
        <v>-1195</v>
      </c>
      <c r="DX102" s="130">
        <v>6606</v>
      </c>
      <c r="DY102" s="229">
        <v>5300</v>
      </c>
      <c r="DZ102" s="229">
        <v>648</v>
      </c>
      <c r="EA102" s="229">
        <v>658</v>
      </c>
      <c r="EB102" s="212">
        <v>21.5</v>
      </c>
      <c r="EC102" s="208"/>
      <c r="ED102" s="183">
        <v>282.691176470588</v>
      </c>
      <c r="EE102" s="3">
        <v>7570</v>
      </c>
      <c r="EF102" s="183">
        <v>7893</v>
      </c>
      <c r="EG102" s="130">
        <v>7685</v>
      </c>
      <c r="EH102" s="130"/>
      <c r="EI102" s="130"/>
      <c r="EJ102" s="130"/>
      <c r="EK102" s="183">
        <v>-759</v>
      </c>
      <c r="EL102" s="183">
        <v>92</v>
      </c>
      <c r="EM102" s="183">
        <v>0</v>
      </c>
      <c r="EN102" s="226">
        <v>-650</v>
      </c>
      <c r="EO102" s="226">
        <v>3</v>
      </c>
      <c r="EP102" s="226">
        <v>0</v>
      </c>
      <c r="EQ102" s="226">
        <v>-1668</v>
      </c>
      <c r="ER102" s="230">
        <v>0</v>
      </c>
      <c r="ES102" s="230">
        <v>0</v>
      </c>
      <c r="ET102" s="3">
        <v>0</v>
      </c>
      <c r="EU102" s="211">
        <v>1078</v>
      </c>
      <c r="EV102" s="183">
        <v>1000</v>
      </c>
      <c r="EW102" s="183">
        <v>-78</v>
      </c>
      <c r="EX102" s="130">
        <v>0</v>
      </c>
      <c r="EY102" s="183">
        <v>822</v>
      </c>
      <c r="EZ102" s="3">
        <v>862</v>
      </c>
      <c r="FA102" s="3">
        <v>684</v>
      </c>
      <c r="FB102" s="3">
        <v>178</v>
      </c>
      <c r="FC102" s="3">
        <v>0</v>
      </c>
      <c r="FD102" s="226">
        <v>2184</v>
      </c>
      <c r="FE102" s="183">
        <v>506</v>
      </c>
      <c r="FF102" s="183">
        <v>1678</v>
      </c>
      <c r="FG102" s="183">
        <v>0</v>
      </c>
      <c r="FH102" s="230">
        <v>3006</v>
      </c>
      <c r="FI102" s="130">
        <v>328</v>
      </c>
      <c r="FJ102" s="130">
        <v>2678</v>
      </c>
      <c r="FK102" s="130">
        <v>0</v>
      </c>
      <c r="FL102" s="29">
        <v>1514.1376060320454</v>
      </c>
      <c r="FM102" s="139">
        <v>2440.5392392874337</v>
      </c>
      <c r="FN102" s="139">
        <v>3114.6034816247579</v>
      </c>
      <c r="FO102" s="172">
        <f t="shared" si="3"/>
        <v>246.51162790697674</v>
      </c>
      <c r="FP102" s="170">
        <f t="shared" si="4"/>
        <v>119.20291484863479</v>
      </c>
      <c r="FR102" s="175"/>
      <c r="FS102" s="195"/>
      <c r="FV102" s="175">
        <v>240</v>
      </c>
      <c r="FW102" s="2">
        <f t="shared" si="5"/>
        <v>-240</v>
      </c>
      <c r="FZ102" s="186"/>
      <c r="GA102" s="2"/>
      <c r="GB102" s="2"/>
    </row>
    <row r="103" spans="1:184" ht="13" x14ac:dyDescent="0.3">
      <c r="A103" s="77">
        <v>284</v>
      </c>
      <c r="B103" s="75" t="s">
        <v>99</v>
      </c>
      <c r="C103" s="179">
        <v>2340</v>
      </c>
      <c r="D103" s="138"/>
      <c r="E103" s="142" t="e">
        <v>#DIV/0!</v>
      </c>
      <c r="F103" s="142">
        <v>20.563251810045038</v>
      </c>
      <c r="G103" s="183">
        <v>-513.24786324786317</v>
      </c>
      <c r="H103" s="144"/>
      <c r="I103" s="186"/>
      <c r="K103" s="210">
        <v>76.311369509043928</v>
      </c>
      <c r="L103" s="143">
        <v>760.68376068376062</v>
      </c>
      <c r="M103" s="146">
        <v>34.767485417670038</v>
      </c>
      <c r="N103" s="143">
        <v>7985.8974358974356</v>
      </c>
      <c r="O103" s="138">
        <v>7204</v>
      </c>
      <c r="P103" s="143">
        <v>3312</v>
      </c>
      <c r="Q103" s="184">
        <v>17620</v>
      </c>
      <c r="R103" s="184">
        <v>-14308</v>
      </c>
      <c r="S103" s="139">
        <v>6712</v>
      </c>
      <c r="T103" s="138">
        <v>7517</v>
      </c>
      <c r="U103" s="151"/>
      <c r="W103" s="183">
        <v>0</v>
      </c>
      <c r="X103" s="183">
        <v>18</v>
      </c>
      <c r="Y103" s="184">
        <v>-61</v>
      </c>
      <c r="Z103" s="130">
        <v>793</v>
      </c>
      <c r="AA103" s="130">
        <v>0</v>
      </c>
      <c r="AB103" s="130">
        <v>0</v>
      </c>
      <c r="AC103" s="184">
        <v>-854</v>
      </c>
      <c r="AD103" s="183">
        <v>40</v>
      </c>
      <c r="AE103" s="183">
        <v>0</v>
      </c>
      <c r="AF103" s="183">
        <v>0</v>
      </c>
      <c r="AG103" s="183">
        <v>-814</v>
      </c>
      <c r="AH103" s="183">
        <v>3520</v>
      </c>
      <c r="AI103" s="183">
        <v>-56</v>
      </c>
      <c r="AJ103" s="167"/>
      <c r="AK103" s="183">
        <v>618</v>
      </c>
      <c r="AL103" s="183">
        <v>0</v>
      </c>
      <c r="AM103" s="180">
        <v>-1064</v>
      </c>
      <c r="AN103" s="139">
        <v>6712</v>
      </c>
      <c r="AO103" s="138">
        <v>5587</v>
      </c>
      <c r="AP103" s="184">
        <v>599</v>
      </c>
      <c r="AQ103" s="138">
        <v>526</v>
      </c>
      <c r="AR103" s="109">
        <v>19.5</v>
      </c>
      <c r="AS103" s="144"/>
      <c r="AT103" s="139">
        <v>260</v>
      </c>
      <c r="AU103" s="228">
        <v>2308</v>
      </c>
      <c r="AV103" s="138"/>
      <c r="AW103" s="224">
        <v>7.1310344827586203</v>
      </c>
      <c r="AX103" s="225">
        <v>18.339885929453459</v>
      </c>
      <c r="AY103" s="139">
        <v>-692.80762564991335</v>
      </c>
      <c r="AZ103" s="144"/>
      <c r="BA103"/>
      <c r="BC103" s="189">
        <v>77.349996640462265</v>
      </c>
      <c r="BD103" s="183">
        <v>337.52166377816292</v>
      </c>
      <c r="BE103" s="140">
        <v>15.329685141255123</v>
      </c>
      <c r="BF103" s="139">
        <v>8036.3951473136913</v>
      </c>
      <c r="BG103" s="184">
        <v>7358</v>
      </c>
      <c r="BH103" s="216">
        <v>3512</v>
      </c>
      <c r="BI103" s="216">
        <v>17561</v>
      </c>
      <c r="BJ103" s="216">
        <v>-14049</v>
      </c>
      <c r="BK103" s="216">
        <v>6966</v>
      </c>
      <c r="BL103" s="216">
        <v>7581</v>
      </c>
      <c r="BM103" s="151"/>
      <c r="BO103" s="216">
        <v>0</v>
      </c>
      <c r="BP103" s="216">
        <v>19</v>
      </c>
      <c r="BQ103" s="216">
        <v>517</v>
      </c>
      <c r="BR103" s="216">
        <v>817</v>
      </c>
      <c r="BS103" s="216">
        <v>0</v>
      </c>
      <c r="BT103" s="216">
        <v>0</v>
      </c>
      <c r="BU103" s="216">
        <v>-300</v>
      </c>
      <c r="BV103" s="183">
        <v>40</v>
      </c>
      <c r="BW103" s="183">
        <v>0</v>
      </c>
      <c r="BX103" s="183">
        <v>0</v>
      </c>
      <c r="BY103" s="183">
        <v>-260</v>
      </c>
      <c r="BZ103" s="183">
        <v>3260</v>
      </c>
      <c r="CA103" s="183">
        <v>495</v>
      </c>
      <c r="CB103" s="167"/>
      <c r="CC103" s="183">
        <v>-308</v>
      </c>
      <c r="CD103" s="183">
        <v>0</v>
      </c>
      <c r="CE103" s="180">
        <v>-408</v>
      </c>
      <c r="CF103" s="139">
        <v>6966</v>
      </c>
      <c r="CG103" s="216">
        <v>5858</v>
      </c>
      <c r="CH103" s="216">
        <v>580</v>
      </c>
      <c r="CI103" s="216">
        <v>528</v>
      </c>
      <c r="CJ103" s="212">
        <v>19.5</v>
      </c>
      <c r="CK103" s="144"/>
      <c r="CL103" s="130">
        <v>116</v>
      </c>
      <c r="CM103" s="228">
        <v>2292</v>
      </c>
      <c r="CN103" s="138"/>
      <c r="CO103" s="142">
        <v>19.572815533980581</v>
      </c>
      <c r="CP103" s="142">
        <v>21.920280513587375</v>
      </c>
      <c r="CQ103" s="183">
        <v>-446.33507853403142</v>
      </c>
      <c r="CR103" s="144"/>
      <c r="CS103"/>
      <c r="CU103" s="232">
        <v>74.806201550387598</v>
      </c>
      <c r="CV103" s="143">
        <v>1049.301919720768</v>
      </c>
      <c r="CW103" s="146">
        <v>45.483160621761655</v>
      </c>
      <c r="CX103" s="143">
        <v>8420.593368237347</v>
      </c>
      <c r="CY103" s="131">
        <v>7354</v>
      </c>
      <c r="CZ103" s="229">
        <v>3373</v>
      </c>
      <c r="DA103" s="229">
        <v>17404</v>
      </c>
      <c r="DB103" s="216">
        <v>-14031</v>
      </c>
      <c r="DC103" s="229">
        <v>7535</v>
      </c>
      <c r="DD103" s="229">
        <v>8485</v>
      </c>
      <c r="DE103" s="151"/>
      <c r="DG103" s="229">
        <v>-3</v>
      </c>
      <c r="DH103" s="229">
        <v>27</v>
      </c>
      <c r="DI103" s="229">
        <v>2013</v>
      </c>
      <c r="DJ103" s="229">
        <v>789</v>
      </c>
      <c r="DK103" s="229">
        <v>0</v>
      </c>
      <c r="DL103" s="229">
        <v>0</v>
      </c>
      <c r="DM103" s="229">
        <v>1224</v>
      </c>
      <c r="DN103" s="130">
        <v>-467</v>
      </c>
      <c r="DO103" s="130">
        <v>0</v>
      </c>
      <c r="DP103" s="130">
        <v>0</v>
      </c>
      <c r="DQ103" s="130">
        <v>757</v>
      </c>
      <c r="DR103" s="130">
        <v>4018</v>
      </c>
      <c r="DS103" s="130">
        <v>2018</v>
      </c>
      <c r="DT103" s="167"/>
      <c r="DU103" s="183">
        <v>111</v>
      </c>
      <c r="DV103" s="183">
        <v>-100</v>
      </c>
      <c r="DW103" s="180">
        <v>586</v>
      </c>
      <c r="DX103" s="130">
        <v>7535</v>
      </c>
      <c r="DY103" s="229">
        <v>6366</v>
      </c>
      <c r="DZ103" s="229">
        <v>704</v>
      </c>
      <c r="EA103" s="229">
        <v>465</v>
      </c>
      <c r="EB103" s="212">
        <v>20</v>
      </c>
      <c r="EC103" s="208"/>
      <c r="ED103" s="183">
        <v>64.095588235294201</v>
      </c>
      <c r="EE103" s="3">
        <v>8768</v>
      </c>
      <c r="EF103" s="183">
        <v>8531</v>
      </c>
      <c r="EG103" s="130">
        <v>8273</v>
      </c>
      <c r="EH103" s="130"/>
      <c r="EI103" s="130"/>
      <c r="EJ103" s="130"/>
      <c r="EK103" s="183">
        <v>-1062</v>
      </c>
      <c r="EL103" s="183">
        <v>50</v>
      </c>
      <c r="EM103" s="183">
        <v>4</v>
      </c>
      <c r="EN103" s="226">
        <v>-985</v>
      </c>
      <c r="EO103" s="226">
        <v>53</v>
      </c>
      <c r="EP103" s="226">
        <v>29</v>
      </c>
      <c r="EQ103" s="226">
        <v>-1788</v>
      </c>
      <c r="ER103" s="230">
        <v>298</v>
      </c>
      <c r="ES103" s="230">
        <v>58</v>
      </c>
      <c r="ET103" s="3">
        <v>0</v>
      </c>
      <c r="EU103" s="211">
        <v>0</v>
      </c>
      <c r="EV103" s="183">
        <v>0</v>
      </c>
      <c r="EW103" s="183">
        <v>0</v>
      </c>
      <c r="EX103" s="130">
        <v>500</v>
      </c>
      <c r="EY103" s="183">
        <v>100</v>
      </c>
      <c r="EZ103" s="3">
        <v>0</v>
      </c>
      <c r="FA103" s="3">
        <v>0</v>
      </c>
      <c r="FB103" s="3">
        <v>0</v>
      </c>
      <c r="FC103" s="3">
        <v>0</v>
      </c>
      <c r="FD103" s="226">
        <v>0</v>
      </c>
      <c r="FE103" s="183">
        <v>0</v>
      </c>
      <c r="FF103" s="183">
        <v>0</v>
      </c>
      <c r="FG103" s="183">
        <v>0</v>
      </c>
      <c r="FH103" s="230">
        <v>500</v>
      </c>
      <c r="FI103" s="130">
        <v>400</v>
      </c>
      <c r="FJ103" s="130">
        <v>100</v>
      </c>
      <c r="FK103" s="130">
        <v>0</v>
      </c>
      <c r="FL103" s="29">
        <v>616.66666666666674</v>
      </c>
      <c r="FM103" s="139">
        <v>590.12131715771227</v>
      </c>
      <c r="FN103" s="139">
        <v>743.45549738219893</v>
      </c>
      <c r="FO103" s="172">
        <f t="shared" si="3"/>
        <v>318.3</v>
      </c>
      <c r="FP103" s="170">
        <f t="shared" si="4"/>
        <v>138.87434554973825</v>
      </c>
      <c r="FR103" s="175"/>
      <c r="FS103" s="195"/>
      <c r="FV103" s="175">
        <v>100</v>
      </c>
      <c r="FW103" s="2">
        <f t="shared" si="5"/>
        <v>-100</v>
      </c>
      <c r="FZ103" s="186"/>
      <c r="GA103" s="2"/>
      <c r="GB103" s="2"/>
    </row>
    <row r="104" spans="1:184" ht="13" x14ac:dyDescent="0.3">
      <c r="A104" s="77">
        <v>285</v>
      </c>
      <c r="B104" s="75" t="s">
        <v>100</v>
      </c>
      <c r="C104" s="179">
        <v>52883</v>
      </c>
      <c r="D104" s="138"/>
      <c r="E104" s="142">
        <v>0.16628980473971541</v>
      </c>
      <c r="F104" s="142">
        <v>91.943702747376349</v>
      </c>
      <c r="G104" s="183">
        <v>-4013.0665809428365</v>
      </c>
      <c r="H104" s="144"/>
      <c r="I104" s="186"/>
      <c r="K104" s="210">
        <v>43.529287501599228</v>
      </c>
      <c r="L104" s="143">
        <v>1767.9405480021935</v>
      </c>
      <c r="M104" s="146">
        <v>66.897156725137023</v>
      </c>
      <c r="N104" s="143">
        <v>9646.1244634381565</v>
      </c>
      <c r="O104" s="138">
        <v>150538</v>
      </c>
      <c r="P104" s="143">
        <v>86184</v>
      </c>
      <c r="Q104" s="184">
        <v>399115</v>
      </c>
      <c r="R104" s="184">
        <v>-312931</v>
      </c>
      <c r="S104" s="139">
        <v>212482</v>
      </c>
      <c r="T104" s="138">
        <v>112200</v>
      </c>
      <c r="U104" s="151"/>
      <c r="W104" s="183">
        <v>199</v>
      </c>
      <c r="X104" s="183">
        <v>-13</v>
      </c>
      <c r="Y104" s="184">
        <v>11937</v>
      </c>
      <c r="Z104" s="130">
        <v>20032</v>
      </c>
      <c r="AA104" s="131">
        <v>7872</v>
      </c>
      <c r="AB104" s="131">
        <v>0</v>
      </c>
      <c r="AC104" s="184">
        <v>-223</v>
      </c>
      <c r="AD104" s="184">
        <v>271</v>
      </c>
      <c r="AE104" s="183">
        <v>0</v>
      </c>
      <c r="AF104" s="183">
        <v>0</v>
      </c>
      <c r="AG104" s="183">
        <v>48</v>
      </c>
      <c r="AH104" s="183">
        <v>-6211</v>
      </c>
      <c r="AI104" s="183">
        <v>10647</v>
      </c>
      <c r="AJ104" s="167"/>
      <c r="AK104" s="183">
        <v>-32259</v>
      </c>
      <c r="AL104" s="183">
        <v>-78673</v>
      </c>
      <c r="AM104" s="180">
        <v>-3003</v>
      </c>
      <c r="AN104" s="139">
        <v>212482</v>
      </c>
      <c r="AO104" s="138">
        <v>187770</v>
      </c>
      <c r="AP104" s="184">
        <v>9500</v>
      </c>
      <c r="AQ104" s="138">
        <v>15212</v>
      </c>
      <c r="AR104" s="109">
        <v>21.5</v>
      </c>
      <c r="AS104" s="144"/>
      <c r="AT104" s="139">
        <v>150</v>
      </c>
      <c r="AU104" s="228">
        <v>52126</v>
      </c>
      <c r="AV104" s="138"/>
      <c r="AW104" s="224">
        <v>0.54673818136460017</v>
      </c>
      <c r="AX104" s="225">
        <v>79.596555786303298</v>
      </c>
      <c r="AY104" s="139">
        <v>-4109.1777615777155</v>
      </c>
      <c r="AZ104" s="144"/>
      <c r="BA104"/>
      <c r="BC104" s="189">
        <v>48.179820886921362</v>
      </c>
      <c r="BD104" s="183">
        <v>835.09189272148251</v>
      </c>
      <c r="BE104" s="140">
        <v>34.068190200097774</v>
      </c>
      <c r="BF104" s="139">
        <v>8947.0130069447114</v>
      </c>
      <c r="BG104" s="184">
        <v>92676</v>
      </c>
      <c r="BH104" s="216">
        <v>81165</v>
      </c>
      <c r="BI104" s="216">
        <v>393669</v>
      </c>
      <c r="BJ104" s="216">
        <v>-310247</v>
      </c>
      <c r="BK104" s="216">
        <v>218060</v>
      </c>
      <c r="BL104" s="216">
        <v>112480</v>
      </c>
      <c r="BM104" s="151"/>
      <c r="BO104" s="216">
        <v>748</v>
      </c>
      <c r="BP104" s="216">
        <v>-109</v>
      </c>
      <c r="BQ104" s="216">
        <v>20932</v>
      </c>
      <c r="BR104" s="216">
        <v>21647</v>
      </c>
      <c r="BS104" s="216">
        <v>586</v>
      </c>
      <c r="BT104" s="216">
        <v>0</v>
      </c>
      <c r="BU104" s="216">
        <v>-129</v>
      </c>
      <c r="BV104" s="184">
        <v>271</v>
      </c>
      <c r="BW104" s="183">
        <v>0</v>
      </c>
      <c r="BX104" s="183">
        <v>0</v>
      </c>
      <c r="BY104" s="183">
        <v>142</v>
      </c>
      <c r="BZ104" s="183">
        <v>9128</v>
      </c>
      <c r="CA104" s="183">
        <v>17323</v>
      </c>
      <c r="CB104" s="167"/>
      <c r="CC104" s="183">
        <v>4747</v>
      </c>
      <c r="CD104" s="183">
        <v>-29246</v>
      </c>
      <c r="CE104" s="180">
        <v>-17089</v>
      </c>
      <c r="CF104" s="139">
        <v>218060</v>
      </c>
      <c r="CG104" s="216">
        <v>193221</v>
      </c>
      <c r="CH104" s="216">
        <v>9538</v>
      </c>
      <c r="CI104" s="216">
        <v>15301</v>
      </c>
      <c r="CJ104" s="212">
        <v>21.5</v>
      </c>
      <c r="CK104" s="144"/>
      <c r="CL104" s="130">
        <v>56</v>
      </c>
      <c r="CM104" s="228">
        <v>51668</v>
      </c>
      <c r="CN104" s="138"/>
      <c r="CO104" s="142">
        <v>2.3718228031953523</v>
      </c>
      <c r="CP104" s="142">
        <v>74.399869259081086</v>
      </c>
      <c r="CQ104" s="183">
        <v>-3530.4056669505303</v>
      </c>
      <c r="CR104" s="144"/>
      <c r="CS104"/>
      <c r="CU104" s="232">
        <v>47.976913541989461</v>
      </c>
      <c r="CV104" s="143">
        <v>1317.0047224587752</v>
      </c>
      <c r="CW104" s="146">
        <v>57.280997320123063</v>
      </c>
      <c r="CX104" s="143">
        <v>8392.0802043818221</v>
      </c>
      <c r="CY104" s="131">
        <v>92174</v>
      </c>
      <c r="CZ104" s="229">
        <v>74842</v>
      </c>
      <c r="DA104" s="229">
        <v>398533</v>
      </c>
      <c r="DB104" s="216">
        <v>-323691</v>
      </c>
      <c r="DC104" s="229">
        <v>225262</v>
      </c>
      <c r="DD104" s="229">
        <v>135894</v>
      </c>
      <c r="DE104" s="151"/>
      <c r="DG104" s="229">
        <v>-2007</v>
      </c>
      <c r="DH104" s="229">
        <v>3164</v>
      </c>
      <c r="DI104" s="229">
        <v>38622</v>
      </c>
      <c r="DJ104" s="229">
        <v>36649</v>
      </c>
      <c r="DK104" s="229">
        <v>0</v>
      </c>
      <c r="DL104" s="229">
        <v>0</v>
      </c>
      <c r="DM104" s="229">
        <v>1973</v>
      </c>
      <c r="DN104" s="131">
        <v>271</v>
      </c>
      <c r="DO104" s="130">
        <v>0</v>
      </c>
      <c r="DP104" s="130">
        <v>0</v>
      </c>
      <c r="DQ104" s="130">
        <v>2244</v>
      </c>
      <c r="DR104" s="130">
        <v>11370</v>
      </c>
      <c r="DS104" s="130">
        <v>47618</v>
      </c>
      <c r="DT104" s="167"/>
      <c r="DU104" s="183">
        <v>-2795</v>
      </c>
      <c r="DV104" s="183">
        <v>-14065</v>
      </c>
      <c r="DW104" s="180">
        <v>31430</v>
      </c>
      <c r="DX104" s="130">
        <v>225262</v>
      </c>
      <c r="DY104" s="229">
        <v>200183</v>
      </c>
      <c r="DZ104" s="229">
        <v>10994</v>
      </c>
      <c r="EA104" s="229">
        <v>14085</v>
      </c>
      <c r="EB104" s="212">
        <v>21.5</v>
      </c>
      <c r="EC104" s="208"/>
      <c r="ED104" s="183">
        <v>105.39705882352899</v>
      </c>
      <c r="EE104" s="3">
        <v>184404</v>
      </c>
      <c r="EF104" s="183">
        <v>247423</v>
      </c>
      <c r="EG104" s="130">
        <v>262043</v>
      </c>
      <c r="EH104" s="130"/>
      <c r="EI104" s="130"/>
      <c r="EJ104" s="130"/>
      <c r="EK104" s="183">
        <v>-24660</v>
      </c>
      <c r="EL104" s="183">
        <v>247</v>
      </c>
      <c r="EM104" s="183">
        <v>10763</v>
      </c>
      <c r="EN104" s="226">
        <v>-41245</v>
      </c>
      <c r="EO104" s="226">
        <v>1457</v>
      </c>
      <c r="EP104" s="226">
        <v>5376</v>
      </c>
      <c r="EQ104" s="226">
        <v>-18666</v>
      </c>
      <c r="ER104" s="230">
        <v>815</v>
      </c>
      <c r="ES104" s="230">
        <v>1663</v>
      </c>
      <c r="ET104" s="3">
        <v>0</v>
      </c>
      <c r="EU104" s="211">
        <v>100108</v>
      </c>
      <c r="EV104" s="183">
        <v>0</v>
      </c>
      <c r="EW104" s="183">
        <v>4676</v>
      </c>
      <c r="EX104" s="130">
        <v>0</v>
      </c>
      <c r="EY104" s="183">
        <v>11269</v>
      </c>
      <c r="EZ104" s="3">
        <v>322101</v>
      </c>
      <c r="FA104" s="3">
        <v>109367</v>
      </c>
      <c r="FB104" s="3">
        <v>212734</v>
      </c>
      <c r="FC104" s="3">
        <v>5263</v>
      </c>
      <c r="FD104" s="226">
        <v>297061</v>
      </c>
      <c r="FE104" s="183">
        <v>95302</v>
      </c>
      <c r="FF104" s="183">
        <v>201759</v>
      </c>
      <c r="FG104" s="183">
        <v>5263</v>
      </c>
      <c r="FH104" s="230">
        <v>294264</v>
      </c>
      <c r="FI104" s="130">
        <v>52026</v>
      </c>
      <c r="FJ104" s="130">
        <v>242238</v>
      </c>
      <c r="FK104" s="130">
        <v>5263</v>
      </c>
      <c r="FL104" s="29">
        <v>10535.067980258305</v>
      </c>
      <c r="FM104" s="139">
        <v>10462.206960058322</v>
      </c>
      <c r="FN104" s="139">
        <v>9850.7780444375621</v>
      </c>
      <c r="FO104" s="172">
        <f t="shared" si="3"/>
        <v>9310.8372093023263</v>
      </c>
      <c r="FP104" s="170">
        <f t="shared" si="4"/>
        <v>180.20510198386481</v>
      </c>
      <c r="FR104" s="175"/>
      <c r="FS104" s="195"/>
      <c r="FV104" s="175">
        <v>26950</v>
      </c>
      <c r="FW104" s="2">
        <f t="shared" si="5"/>
        <v>-26950</v>
      </c>
      <c r="FZ104" s="186"/>
      <c r="GA104" s="2"/>
      <c r="GB104" s="2"/>
    </row>
    <row r="105" spans="1:184" ht="13" x14ac:dyDescent="0.3">
      <c r="A105" s="77">
        <v>286</v>
      </c>
      <c r="B105" s="75" t="s">
        <v>101</v>
      </c>
      <c r="C105" s="179">
        <v>83177</v>
      </c>
      <c r="D105" s="138"/>
      <c r="E105" s="142">
        <v>-0.13424393514057067</v>
      </c>
      <c r="F105" s="142">
        <v>54.637409207349855</v>
      </c>
      <c r="G105" s="183">
        <v>-3052.5265397886433</v>
      </c>
      <c r="H105" s="144"/>
      <c r="I105" s="186"/>
      <c r="K105" s="210">
        <v>48.688984722142663</v>
      </c>
      <c r="L105" s="143">
        <v>320.29286942303764</v>
      </c>
      <c r="M105" s="146">
        <v>15.01828642032511</v>
      </c>
      <c r="N105" s="143">
        <v>7784.3033530903976</v>
      </c>
      <c r="O105" s="138">
        <v>239493</v>
      </c>
      <c r="P105" s="143">
        <v>71324</v>
      </c>
      <c r="Q105" s="184">
        <v>584511</v>
      </c>
      <c r="R105" s="184">
        <v>-513187</v>
      </c>
      <c r="S105" s="139">
        <v>331075</v>
      </c>
      <c r="T105" s="138">
        <v>170036</v>
      </c>
      <c r="U105" s="151"/>
      <c r="W105" s="183">
        <v>-620</v>
      </c>
      <c r="X105" s="183">
        <v>6947</v>
      </c>
      <c r="Y105" s="184">
        <v>-5749</v>
      </c>
      <c r="Z105" s="130">
        <v>20279</v>
      </c>
      <c r="AA105" s="130">
        <v>0</v>
      </c>
      <c r="AB105" s="130">
        <v>0</v>
      </c>
      <c r="AC105" s="184">
        <v>-26028</v>
      </c>
      <c r="AD105" s="184">
        <v>102</v>
      </c>
      <c r="AE105" s="184">
        <v>0</v>
      </c>
      <c r="AF105" s="183">
        <v>5</v>
      </c>
      <c r="AG105" s="183">
        <v>-25921</v>
      </c>
      <c r="AH105" s="183">
        <v>10140</v>
      </c>
      <c r="AI105" s="183">
        <v>-7417</v>
      </c>
      <c r="AJ105" s="167"/>
      <c r="AK105" s="183">
        <v>2410</v>
      </c>
      <c r="AL105" s="183">
        <v>-21322</v>
      </c>
      <c r="AM105" s="180">
        <v>-37357</v>
      </c>
      <c r="AN105" s="139">
        <v>331075</v>
      </c>
      <c r="AO105" s="138">
        <v>283094</v>
      </c>
      <c r="AP105" s="184">
        <v>27768</v>
      </c>
      <c r="AQ105" s="138">
        <v>20213</v>
      </c>
      <c r="AR105" s="109">
        <v>20.75</v>
      </c>
      <c r="AS105" s="144"/>
      <c r="AT105" s="139">
        <v>268</v>
      </c>
      <c r="AU105" s="228">
        <v>82113</v>
      </c>
      <c r="AV105" s="138"/>
      <c r="AW105" s="224">
        <v>-5.3305812936082379E-2</v>
      </c>
      <c r="AX105" s="225">
        <v>63.646704607258002</v>
      </c>
      <c r="AY105" s="139">
        <v>-3715.0877449368554</v>
      </c>
      <c r="AZ105" s="144"/>
      <c r="BA105"/>
      <c r="BC105" s="189">
        <v>43.167796463040268</v>
      </c>
      <c r="BD105" s="183">
        <v>339.47121649434314</v>
      </c>
      <c r="BE105" s="140">
        <v>15.522400925146156</v>
      </c>
      <c r="BF105" s="139">
        <v>7982.4631909685431</v>
      </c>
      <c r="BG105" s="184">
        <v>150723</v>
      </c>
      <c r="BH105" s="216">
        <v>52221</v>
      </c>
      <c r="BI105" s="216">
        <v>578792</v>
      </c>
      <c r="BJ105" s="216">
        <v>-523161</v>
      </c>
      <c r="BK105" s="216">
        <v>338080</v>
      </c>
      <c r="BL105" s="216">
        <v>172333</v>
      </c>
      <c r="BM105" s="151"/>
      <c r="BO105" s="216">
        <v>-860</v>
      </c>
      <c r="BP105" s="216">
        <v>8422</v>
      </c>
      <c r="BQ105" s="216">
        <v>-5186</v>
      </c>
      <c r="BR105" s="216">
        <v>22575</v>
      </c>
      <c r="BS105" s="216">
        <v>0</v>
      </c>
      <c r="BT105" s="216">
        <v>0</v>
      </c>
      <c r="BU105" s="216">
        <v>-27761</v>
      </c>
      <c r="BV105" s="184">
        <v>102</v>
      </c>
      <c r="BW105" s="184">
        <v>0</v>
      </c>
      <c r="BX105" s="183">
        <v>0</v>
      </c>
      <c r="BY105" s="183">
        <v>-27659</v>
      </c>
      <c r="BZ105" s="183">
        <v>-13653</v>
      </c>
      <c r="CA105" s="183">
        <v>-4618</v>
      </c>
      <c r="CB105" s="167"/>
      <c r="CC105" s="183">
        <v>5266</v>
      </c>
      <c r="CD105" s="183">
        <v>-24023</v>
      </c>
      <c r="CE105" s="180">
        <v>-45781</v>
      </c>
      <c r="CF105" s="139">
        <v>338080</v>
      </c>
      <c r="CG105" s="216">
        <v>286569</v>
      </c>
      <c r="CH105" s="216">
        <v>23064</v>
      </c>
      <c r="CI105" s="216">
        <v>28447</v>
      </c>
      <c r="CJ105" s="212">
        <v>20.75</v>
      </c>
      <c r="CK105" s="144"/>
      <c r="CL105" s="130">
        <v>250</v>
      </c>
      <c r="CM105" s="228">
        <v>81187</v>
      </c>
      <c r="CN105" s="138"/>
      <c r="CO105" s="142">
        <v>1.8539808291252153</v>
      </c>
      <c r="CP105" s="142">
        <v>50.607415428708528</v>
      </c>
      <c r="CQ105" s="183">
        <v>-3180.2382154778475</v>
      </c>
      <c r="CR105" s="144"/>
      <c r="CS105"/>
      <c r="CU105" s="232">
        <v>48.129510933540359</v>
      </c>
      <c r="CV105" s="143">
        <v>350.46251247120847</v>
      </c>
      <c r="CW105" s="146">
        <v>16.428894594385095</v>
      </c>
      <c r="CX105" s="143">
        <v>7786.2096148398141</v>
      </c>
      <c r="CY105" s="131">
        <v>142960</v>
      </c>
      <c r="CZ105" s="229">
        <v>49790</v>
      </c>
      <c r="DA105" s="229">
        <v>569660</v>
      </c>
      <c r="DB105" s="216">
        <v>-519870</v>
      </c>
      <c r="DC105" s="229">
        <v>354743</v>
      </c>
      <c r="DD105" s="229">
        <v>213734</v>
      </c>
      <c r="DE105" s="151"/>
      <c r="DG105" s="229">
        <v>-788</v>
      </c>
      <c r="DH105" s="229">
        <v>10733</v>
      </c>
      <c r="DI105" s="229">
        <v>58552</v>
      </c>
      <c r="DJ105" s="229">
        <v>27503</v>
      </c>
      <c r="DK105" s="229">
        <v>0</v>
      </c>
      <c r="DL105" s="229">
        <v>0</v>
      </c>
      <c r="DM105" s="229">
        <v>31049</v>
      </c>
      <c r="DN105" s="131">
        <v>102</v>
      </c>
      <c r="DO105" s="131">
        <v>0</v>
      </c>
      <c r="DP105" s="130">
        <v>0</v>
      </c>
      <c r="DQ105" s="130">
        <v>31151</v>
      </c>
      <c r="DR105" s="130">
        <v>17955</v>
      </c>
      <c r="DS105" s="130">
        <v>72272</v>
      </c>
      <c r="DT105" s="167"/>
      <c r="DU105" s="183">
        <v>-372</v>
      </c>
      <c r="DV105" s="183">
        <v>-30310</v>
      </c>
      <c r="DW105" s="180">
        <v>45516</v>
      </c>
      <c r="DX105" s="130">
        <v>354743</v>
      </c>
      <c r="DY105" s="229">
        <v>302676</v>
      </c>
      <c r="DZ105" s="229">
        <v>25999</v>
      </c>
      <c r="EA105" s="229">
        <v>26068</v>
      </c>
      <c r="EB105" s="212">
        <v>21.25</v>
      </c>
      <c r="EC105" s="208"/>
      <c r="ED105" s="183">
        <v>122.52205882352899</v>
      </c>
      <c r="EE105" s="3">
        <v>261731</v>
      </c>
      <c r="EF105" s="183">
        <v>382710</v>
      </c>
      <c r="EG105" s="130">
        <v>385279</v>
      </c>
      <c r="EH105" s="130"/>
      <c r="EI105" s="130"/>
      <c r="EJ105" s="130">
        <v>3300</v>
      </c>
      <c r="EK105" s="183">
        <v>-33288</v>
      </c>
      <c r="EL105" s="183">
        <v>1078</v>
      </c>
      <c r="EM105" s="183">
        <v>2270</v>
      </c>
      <c r="EN105" s="226">
        <v>-46962</v>
      </c>
      <c r="EO105" s="226">
        <v>4800</v>
      </c>
      <c r="EP105" s="226">
        <v>999</v>
      </c>
      <c r="EQ105" s="226">
        <v>-30259</v>
      </c>
      <c r="ER105" s="230">
        <v>2308</v>
      </c>
      <c r="ES105" s="230">
        <v>1195</v>
      </c>
      <c r="ET105" s="3">
        <v>43500</v>
      </c>
      <c r="EU105" s="211">
        <v>10798</v>
      </c>
      <c r="EV105" s="183">
        <v>70000</v>
      </c>
      <c r="EW105" s="183">
        <v>34089</v>
      </c>
      <c r="EX105" s="130">
        <v>33000</v>
      </c>
      <c r="EY105" s="183">
        <v>-48542</v>
      </c>
      <c r="EZ105" s="3">
        <v>232688</v>
      </c>
      <c r="FA105" s="3">
        <v>178960</v>
      </c>
      <c r="FB105" s="3">
        <v>53728</v>
      </c>
      <c r="FC105" s="3">
        <v>42416</v>
      </c>
      <c r="FD105" s="226">
        <v>312755</v>
      </c>
      <c r="FE105" s="183">
        <v>220300</v>
      </c>
      <c r="FF105" s="183">
        <v>92455</v>
      </c>
      <c r="FG105" s="183">
        <v>46372</v>
      </c>
      <c r="FH105" s="230">
        <v>266903</v>
      </c>
      <c r="FI105" s="130">
        <v>219690</v>
      </c>
      <c r="FJ105" s="130">
        <v>47213</v>
      </c>
      <c r="FK105" s="130">
        <v>46140</v>
      </c>
      <c r="FL105" s="29">
        <v>4420.0199574401577</v>
      </c>
      <c r="FM105" s="139">
        <v>5956.2919391570158</v>
      </c>
      <c r="FN105" s="139">
        <v>5936.911081823444</v>
      </c>
      <c r="FO105" s="172">
        <f t="shared" si="3"/>
        <v>14243.576470588236</v>
      </c>
      <c r="FP105" s="170">
        <f t="shared" si="4"/>
        <v>175.44159127185677</v>
      </c>
      <c r="FR105" s="175"/>
      <c r="FS105" s="195"/>
      <c r="FV105" s="175">
        <v>21744</v>
      </c>
      <c r="FW105" s="2">
        <f t="shared" si="5"/>
        <v>-21744</v>
      </c>
      <c r="FZ105" s="186"/>
      <c r="GA105" s="2"/>
      <c r="GB105" s="2"/>
    </row>
    <row r="106" spans="1:184" ht="13" x14ac:dyDescent="0.3">
      <c r="A106" s="77">
        <v>287</v>
      </c>
      <c r="B106" s="75" t="s">
        <v>370</v>
      </c>
      <c r="C106" s="179">
        <v>6596</v>
      </c>
      <c r="D106" s="138"/>
      <c r="E106" s="142">
        <v>0.62277648878576952</v>
      </c>
      <c r="F106" s="142">
        <v>70.039812917939003</v>
      </c>
      <c r="G106" s="183">
        <v>-3966.1916312916919</v>
      </c>
      <c r="H106" s="144"/>
      <c r="I106" s="186"/>
      <c r="K106" s="210">
        <v>39.383235754262031</v>
      </c>
      <c r="L106" s="143">
        <v>914.79684657368102</v>
      </c>
      <c r="M106" s="146">
        <v>36.121069981795223</v>
      </c>
      <c r="N106" s="143">
        <v>9243.9357186173438</v>
      </c>
      <c r="O106" s="138">
        <v>22048</v>
      </c>
      <c r="P106" s="143">
        <v>8072</v>
      </c>
      <c r="Q106" s="184">
        <v>48609</v>
      </c>
      <c r="R106" s="184">
        <v>-40537</v>
      </c>
      <c r="S106" s="139">
        <v>23469</v>
      </c>
      <c r="T106" s="138">
        <v>20205</v>
      </c>
      <c r="U106" s="151"/>
      <c r="W106" s="183">
        <v>-393</v>
      </c>
      <c r="X106" s="183">
        <v>84</v>
      </c>
      <c r="Y106" s="184">
        <v>2828</v>
      </c>
      <c r="Z106" s="130">
        <v>2550</v>
      </c>
      <c r="AA106" s="130">
        <v>0</v>
      </c>
      <c r="AB106" s="130">
        <v>0</v>
      </c>
      <c r="AC106" s="184">
        <v>278</v>
      </c>
      <c r="AD106" s="184">
        <v>0</v>
      </c>
      <c r="AE106" s="183">
        <v>0</v>
      </c>
      <c r="AF106" s="184">
        <v>0</v>
      </c>
      <c r="AG106" s="183">
        <v>278</v>
      </c>
      <c r="AH106" s="183">
        <v>9746</v>
      </c>
      <c r="AI106" s="183">
        <v>2340</v>
      </c>
      <c r="AJ106" s="167"/>
      <c r="AK106" s="183">
        <v>-1934</v>
      </c>
      <c r="AL106" s="183">
        <v>-4779</v>
      </c>
      <c r="AM106" s="180">
        <v>-3049</v>
      </c>
      <c r="AN106" s="139">
        <v>23469</v>
      </c>
      <c r="AO106" s="138">
        <v>19548</v>
      </c>
      <c r="AP106" s="184">
        <v>1369</v>
      </c>
      <c r="AQ106" s="138">
        <v>2552</v>
      </c>
      <c r="AR106" s="109">
        <v>21.5</v>
      </c>
      <c r="AS106" s="144"/>
      <c r="AT106" s="139">
        <v>64</v>
      </c>
      <c r="AU106" s="228">
        <v>6486</v>
      </c>
      <c r="AV106" s="138"/>
      <c r="AW106" s="224">
        <v>0.30059576476139915</v>
      </c>
      <c r="AX106" s="225">
        <v>67.112492369165878</v>
      </c>
      <c r="AY106" s="139">
        <v>-4595.8988590810977</v>
      </c>
      <c r="AZ106" s="144"/>
      <c r="BA106"/>
      <c r="BC106" s="189">
        <v>35.964585123806124</v>
      </c>
      <c r="BD106" s="183">
        <v>565.21739130434776</v>
      </c>
      <c r="BE106" s="140">
        <v>20.442275081351116</v>
      </c>
      <c r="BF106" s="139">
        <v>10092.04440333025</v>
      </c>
      <c r="BG106" s="184">
        <v>23523</v>
      </c>
      <c r="BH106" s="216">
        <v>8695</v>
      </c>
      <c r="BI106" s="216">
        <v>52847</v>
      </c>
      <c r="BJ106" s="216">
        <v>-44152</v>
      </c>
      <c r="BK106" s="216">
        <v>24648</v>
      </c>
      <c r="BL106" s="216">
        <v>20714</v>
      </c>
      <c r="BM106" s="151"/>
      <c r="BO106" s="216">
        <v>-369</v>
      </c>
      <c r="BP106" s="216">
        <v>64</v>
      </c>
      <c r="BQ106" s="216">
        <v>905</v>
      </c>
      <c r="BR106" s="216">
        <v>3095</v>
      </c>
      <c r="BS106" s="216">
        <v>0</v>
      </c>
      <c r="BT106" s="216">
        <v>0</v>
      </c>
      <c r="BU106" s="216">
        <v>-2190</v>
      </c>
      <c r="BV106" s="184">
        <v>0</v>
      </c>
      <c r="BW106" s="183">
        <v>0</v>
      </c>
      <c r="BX106" s="184">
        <v>0</v>
      </c>
      <c r="BY106" s="183">
        <v>-2190</v>
      </c>
      <c r="BZ106" s="183">
        <v>7556</v>
      </c>
      <c r="CA106" s="183">
        <v>2112</v>
      </c>
      <c r="CB106" s="167"/>
      <c r="CC106" s="183">
        <v>687</v>
      </c>
      <c r="CD106" s="183">
        <v>-5389</v>
      </c>
      <c r="CE106" s="180">
        <v>-3565</v>
      </c>
      <c r="CF106" s="139">
        <v>24648</v>
      </c>
      <c r="CG106" s="216">
        <v>20363</v>
      </c>
      <c r="CH106" s="216">
        <v>1408</v>
      </c>
      <c r="CI106" s="216">
        <v>2877</v>
      </c>
      <c r="CJ106" s="212">
        <v>21.5</v>
      </c>
      <c r="CK106" s="144"/>
      <c r="CL106" s="130">
        <v>159</v>
      </c>
      <c r="CM106" s="228">
        <v>6404</v>
      </c>
      <c r="CN106" s="138"/>
      <c r="CO106" s="142">
        <v>0.75400565504241279</v>
      </c>
      <c r="CP106" s="142">
        <v>71.365097205879763</v>
      </c>
      <c r="CQ106" s="183">
        <v>-4734.0724547158025</v>
      </c>
      <c r="CR106" s="144"/>
      <c r="CS106"/>
      <c r="CU106" s="232">
        <v>33.632069758992372</v>
      </c>
      <c r="CV106" s="143">
        <v>1107.2767020612118</v>
      </c>
      <c r="CW106" s="146">
        <v>40.884197390452719</v>
      </c>
      <c r="CX106" s="143">
        <v>9885.3841349156774</v>
      </c>
      <c r="CY106" s="131">
        <v>23440</v>
      </c>
      <c r="CZ106" s="229">
        <v>8820</v>
      </c>
      <c r="DA106" s="229">
        <v>52847</v>
      </c>
      <c r="DB106" s="216">
        <v>-44027</v>
      </c>
      <c r="DC106" s="229">
        <v>25119</v>
      </c>
      <c r="DD106" s="229">
        <v>23002</v>
      </c>
      <c r="DE106" s="151"/>
      <c r="DG106" s="229">
        <v>-321</v>
      </c>
      <c r="DH106" s="229">
        <v>-94</v>
      </c>
      <c r="DI106" s="229">
        <v>3679</v>
      </c>
      <c r="DJ106" s="229">
        <v>3594</v>
      </c>
      <c r="DK106" s="229">
        <v>0</v>
      </c>
      <c r="DL106" s="229">
        <v>0</v>
      </c>
      <c r="DM106" s="229">
        <v>85</v>
      </c>
      <c r="DN106" s="131">
        <v>0</v>
      </c>
      <c r="DO106" s="130">
        <v>0</v>
      </c>
      <c r="DP106" s="131">
        <v>0</v>
      </c>
      <c r="DQ106" s="130">
        <v>85</v>
      </c>
      <c r="DR106" s="130">
        <v>7639</v>
      </c>
      <c r="DS106" s="130">
        <v>2774</v>
      </c>
      <c r="DT106" s="167"/>
      <c r="DU106" s="183">
        <v>-425</v>
      </c>
      <c r="DV106" s="183">
        <v>-4984</v>
      </c>
      <c r="DW106" s="180">
        <v>-479</v>
      </c>
      <c r="DX106" s="130">
        <v>25119</v>
      </c>
      <c r="DY106" s="229">
        <v>20980</v>
      </c>
      <c r="DZ106" s="229">
        <v>1486</v>
      </c>
      <c r="EA106" s="229">
        <v>2653</v>
      </c>
      <c r="EB106" s="212">
        <v>21.5</v>
      </c>
      <c r="EC106" s="208"/>
      <c r="ED106" s="183">
        <v>196.058823529411</v>
      </c>
      <c r="EE106" s="3">
        <v>21675</v>
      </c>
      <c r="EF106" s="183">
        <v>24361</v>
      </c>
      <c r="EG106" s="130">
        <v>22767</v>
      </c>
      <c r="EH106" s="130"/>
      <c r="EI106" s="130"/>
      <c r="EJ106" s="130"/>
      <c r="EK106" s="183">
        <v>-7165</v>
      </c>
      <c r="EL106" s="183">
        <v>1303</v>
      </c>
      <c r="EM106" s="183">
        <v>473</v>
      </c>
      <c r="EN106" s="226">
        <v>-6830</v>
      </c>
      <c r="EO106" s="226">
        <v>565</v>
      </c>
      <c r="EP106" s="226">
        <v>588</v>
      </c>
      <c r="EQ106" s="226">
        <v>-4977</v>
      </c>
      <c r="ER106" s="230">
        <v>60</v>
      </c>
      <c r="ES106" s="230">
        <v>1664</v>
      </c>
      <c r="ET106" s="3">
        <v>13112</v>
      </c>
      <c r="EU106" s="211">
        <v>0</v>
      </c>
      <c r="EV106" s="183">
        <v>4000</v>
      </c>
      <c r="EW106" s="183">
        <v>410</v>
      </c>
      <c r="EX106" s="130">
        <v>7680</v>
      </c>
      <c r="EY106" s="183">
        <v>364</v>
      </c>
      <c r="EZ106" s="3">
        <v>27716</v>
      </c>
      <c r="FA106" s="3">
        <v>23261</v>
      </c>
      <c r="FB106" s="3">
        <v>4455</v>
      </c>
      <c r="FC106" s="3">
        <v>0</v>
      </c>
      <c r="FD106" s="226">
        <v>26737</v>
      </c>
      <c r="FE106" s="183">
        <v>21872</v>
      </c>
      <c r="FF106" s="183">
        <v>4865</v>
      </c>
      <c r="FG106" s="183">
        <v>0</v>
      </c>
      <c r="FH106" s="230">
        <v>29799</v>
      </c>
      <c r="FI106" s="130">
        <v>24569</v>
      </c>
      <c r="FJ106" s="130">
        <v>5230</v>
      </c>
      <c r="FK106" s="130">
        <v>0</v>
      </c>
      <c r="FL106" s="29">
        <v>5611.4311704063066</v>
      </c>
      <c r="FM106" s="139">
        <v>5865.7107616404564</v>
      </c>
      <c r="FN106" s="139">
        <v>6586.3522798251097</v>
      </c>
      <c r="FO106" s="172">
        <f t="shared" si="3"/>
        <v>975.81395348837214</v>
      </c>
      <c r="FP106" s="170">
        <f t="shared" si="4"/>
        <v>152.37569542291882</v>
      </c>
      <c r="FR106" s="175"/>
      <c r="FS106" s="195"/>
      <c r="FV106" s="175">
        <v>2310</v>
      </c>
      <c r="FW106" s="2">
        <f t="shared" si="5"/>
        <v>-2310</v>
      </c>
      <c r="FZ106" s="186"/>
      <c r="GA106" s="2"/>
      <c r="GB106" s="2"/>
    </row>
    <row r="107" spans="1:184" ht="13" x14ac:dyDescent="0.3">
      <c r="A107" s="77">
        <v>288</v>
      </c>
      <c r="B107" s="75" t="s">
        <v>102</v>
      </c>
      <c r="C107" s="179">
        <v>6509</v>
      </c>
      <c r="D107" s="138"/>
      <c r="E107" s="142">
        <v>0.47292907417433677</v>
      </c>
      <c r="F107" s="142">
        <v>57.112946102994798</v>
      </c>
      <c r="G107" s="183">
        <v>-3610.3856199108927</v>
      </c>
      <c r="H107" s="144"/>
      <c r="I107" s="186"/>
      <c r="K107" s="210">
        <v>31.760547576301615</v>
      </c>
      <c r="L107" s="143">
        <v>26.117683207866033</v>
      </c>
      <c r="M107" s="146">
        <v>1.3634665670526709</v>
      </c>
      <c r="N107" s="143">
        <v>6991.7037947457366</v>
      </c>
      <c r="O107" s="138">
        <v>9900</v>
      </c>
      <c r="P107" s="143">
        <v>2559</v>
      </c>
      <c r="Q107" s="184">
        <v>41094</v>
      </c>
      <c r="R107" s="184">
        <v>-38535</v>
      </c>
      <c r="S107" s="139">
        <v>23584</v>
      </c>
      <c r="T107" s="138">
        <v>16364</v>
      </c>
      <c r="U107" s="151"/>
      <c r="W107" s="183">
        <v>-328</v>
      </c>
      <c r="X107" s="183">
        <v>334</v>
      </c>
      <c r="Y107" s="184">
        <v>1419</v>
      </c>
      <c r="Z107" s="130">
        <v>1464</v>
      </c>
      <c r="AA107" s="130">
        <v>0</v>
      </c>
      <c r="AB107" s="130">
        <v>0</v>
      </c>
      <c r="AC107" s="184">
        <v>-45</v>
      </c>
      <c r="AD107" s="183">
        <v>0</v>
      </c>
      <c r="AE107" s="183">
        <v>0</v>
      </c>
      <c r="AF107" s="183">
        <v>0</v>
      </c>
      <c r="AG107" s="183">
        <v>-45</v>
      </c>
      <c r="AH107" s="183">
        <v>5973</v>
      </c>
      <c r="AI107" s="183">
        <v>1398</v>
      </c>
      <c r="AJ107" s="167"/>
      <c r="AK107" s="183">
        <v>896</v>
      </c>
      <c r="AL107" s="183">
        <v>-3366</v>
      </c>
      <c r="AM107" s="180">
        <v>724</v>
      </c>
      <c r="AN107" s="139">
        <v>23584</v>
      </c>
      <c r="AO107" s="138">
        <v>19461</v>
      </c>
      <c r="AP107" s="184">
        <v>2316</v>
      </c>
      <c r="AQ107" s="138">
        <v>1807</v>
      </c>
      <c r="AR107" s="109">
        <v>22</v>
      </c>
      <c r="AS107" s="144"/>
      <c r="AT107" s="139">
        <v>157</v>
      </c>
      <c r="AU107" s="228">
        <v>6428</v>
      </c>
      <c r="AV107" s="138"/>
      <c r="AW107" s="224">
        <v>0.58549204182086012</v>
      </c>
      <c r="AX107" s="225">
        <v>63.240012001754103</v>
      </c>
      <c r="AY107" s="139">
        <v>-4052.7380211574364</v>
      </c>
      <c r="AZ107" s="144"/>
      <c r="BA107"/>
      <c r="BC107" s="189">
        <v>30.213047236487519</v>
      </c>
      <c r="BD107" s="183">
        <v>104.38705662725576</v>
      </c>
      <c r="BE107" s="140">
        <v>4.8714098178057128</v>
      </c>
      <c r="BF107" s="139">
        <v>7821.4063472308653</v>
      </c>
      <c r="BG107" s="184">
        <v>9985</v>
      </c>
      <c r="BH107" s="216">
        <v>3248</v>
      </c>
      <c r="BI107" s="216">
        <v>41519</v>
      </c>
      <c r="BJ107" s="216">
        <v>-38271</v>
      </c>
      <c r="BK107" s="216">
        <v>24129</v>
      </c>
      <c r="BL107" s="216">
        <v>15950</v>
      </c>
      <c r="BM107" s="151"/>
      <c r="BO107" s="216">
        <v>-282</v>
      </c>
      <c r="BP107" s="216">
        <v>229</v>
      </c>
      <c r="BQ107" s="216">
        <v>1755</v>
      </c>
      <c r="BR107" s="216">
        <v>1192</v>
      </c>
      <c r="BS107" s="216">
        <v>0</v>
      </c>
      <c r="BT107" s="216">
        <v>0</v>
      </c>
      <c r="BU107" s="216">
        <v>563</v>
      </c>
      <c r="BV107" s="183">
        <v>0</v>
      </c>
      <c r="BW107" s="183">
        <v>0</v>
      </c>
      <c r="BX107" s="183">
        <v>0</v>
      </c>
      <c r="BY107" s="183">
        <v>563</v>
      </c>
      <c r="BZ107" s="183">
        <v>6536</v>
      </c>
      <c r="CA107" s="183">
        <v>1138</v>
      </c>
      <c r="CB107" s="167"/>
      <c r="CC107" s="183">
        <v>-71</v>
      </c>
      <c r="CD107" s="183">
        <v>-3685</v>
      </c>
      <c r="CE107" s="180">
        <v>-2511</v>
      </c>
      <c r="CF107" s="139">
        <v>24129</v>
      </c>
      <c r="CG107" s="216">
        <v>20132</v>
      </c>
      <c r="CH107" s="216">
        <v>2193</v>
      </c>
      <c r="CI107" s="216">
        <v>1804</v>
      </c>
      <c r="CJ107" s="212">
        <v>22</v>
      </c>
      <c r="CK107" s="144"/>
      <c r="CL107" s="130">
        <v>97</v>
      </c>
      <c r="CM107" s="228">
        <v>6416</v>
      </c>
      <c r="CN107" s="138"/>
      <c r="CO107" s="142">
        <v>1.1261199172984149</v>
      </c>
      <c r="CP107" s="142">
        <v>61.764322633887851</v>
      </c>
      <c r="CQ107" s="183">
        <v>-4010.7543640897757</v>
      </c>
      <c r="CR107" s="144"/>
      <c r="CS107"/>
      <c r="CU107" s="232">
        <v>34.547877228450652</v>
      </c>
      <c r="CV107" s="143">
        <v>250.77930174563591</v>
      </c>
      <c r="CW107" s="146">
        <v>11.703567158230371</v>
      </c>
      <c r="CX107" s="143">
        <v>7821.072319201995</v>
      </c>
      <c r="CY107" s="131">
        <v>10001</v>
      </c>
      <c r="CZ107" s="229">
        <v>2620</v>
      </c>
      <c r="DA107" s="229">
        <v>41294</v>
      </c>
      <c r="DB107" s="216">
        <v>-38674</v>
      </c>
      <c r="DC107" s="229">
        <v>24590</v>
      </c>
      <c r="DD107" s="229">
        <v>18836</v>
      </c>
      <c r="DE107" s="151"/>
      <c r="DG107" s="229">
        <v>-241</v>
      </c>
      <c r="DH107" s="229">
        <v>150</v>
      </c>
      <c r="DI107" s="229">
        <v>4661</v>
      </c>
      <c r="DJ107" s="229">
        <v>1511</v>
      </c>
      <c r="DK107" s="229">
        <v>0</v>
      </c>
      <c r="DL107" s="229">
        <v>0</v>
      </c>
      <c r="DM107" s="229">
        <v>3150</v>
      </c>
      <c r="DN107" s="130">
        <v>0</v>
      </c>
      <c r="DO107" s="130">
        <v>0</v>
      </c>
      <c r="DP107" s="130">
        <v>0</v>
      </c>
      <c r="DQ107" s="130">
        <v>3150</v>
      </c>
      <c r="DR107" s="130">
        <v>9693</v>
      </c>
      <c r="DS107" s="130">
        <v>4548</v>
      </c>
      <c r="DT107" s="167"/>
      <c r="DU107" s="183">
        <v>-419</v>
      </c>
      <c r="DV107" s="183">
        <v>-4112</v>
      </c>
      <c r="DW107" s="180">
        <v>317</v>
      </c>
      <c r="DX107" s="130">
        <v>24590</v>
      </c>
      <c r="DY107" s="229">
        <v>20637</v>
      </c>
      <c r="DZ107" s="229">
        <v>2259</v>
      </c>
      <c r="EA107" s="229">
        <v>1694</v>
      </c>
      <c r="EB107" s="212">
        <v>22</v>
      </c>
      <c r="EC107" s="208"/>
      <c r="ED107" s="183">
        <v>118.492647058823</v>
      </c>
      <c r="EE107" s="3">
        <v>28735</v>
      </c>
      <c r="EF107" s="183">
        <v>28992</v>
      </c>
      <c r="EG107" s="130">
        <v>28867</v>
      </c>
      <c r="EH107" s="130"/>
      <c r="EI107" s="130"/>
      <c r="EJ107" s="130"/>
      <c r="EK107" s="183">
        <v>-717</v>
      </c>
      <c r="EL107" s="183">
        <v>4</v>
      </c>
      <c r="EM107" s="183">
        <v>39</v>
      </c>
      <c r="EN107" s="226">
        <v>-4746</v>
      </c>
      <c r="EO107" s="226">
        <v>186</v>
      </c>
      <c r="EP107" s="226">
        <v>911</v>
      </c>
      <c r="EQ107" s="226">
        <v>-4532</v>
      </c>
      <c r="ER107" s="230">
        <v>151</v>
      </c>
      <c r="ES107" s="230">
        <v>150</v>
      </c>
      <c r="ET107" s="3">
        <v>4189</v>
      </c>
      <c r="EU107" s="211">
        <v>-1613</v>
      </c>
      <c r="EV107" s="183">
        <v>5679</v>
      </c>
      <c r="EW107" s="183">
        <v>602</v>
      </c>
      <c r="EX107" s="130">
        <v>5895</v>
      </c>
      <c r="EY107" s="183">
        <v>-1224</v>
      </c>
      <c r="EZ107" s="3">
        <v>21600</v>
      </c>
      <c r="FA107" s="3">
        <v>15529</v>
      </c>
      <c r="FB107" s="3">
        <v>6071</v>
      </c>
      <c r="FC107" s="3">
        <v>0</v>
      </c>
      <c r="FD107" s="226">
        <v>24196</v>
      </c>
      <c r="FE107" s="183">
        <v>17106</v>
      </c>
      <c r="FF107" s="183">
        <v>7090</v>
      </c>
      <c r="FG107" s="183">
        <v>0</v>
      </c>
      <c r="FH107" s="230">
        <v>24755</v>
      </c>
      <c r="FI107" s="130">
        <v>18563</v>
      </c>
      <c r="FJ107" s="130">
        <v>6192</v>
      </c>
      <c r="FK107" s="130">
        <v>0</v>
      </c>
      <c r="FL107" s="29">
        <v>3881.7022584114302</v>
      </c>
      <c r="FM107" s="139">
        <v>4452.0846297448661</v>
      </c>
      <c r="FN107" s="139">
        <v>4689.9937655860349</v>
      </c>
      <c r="FO107" s="172">
        <f t="shared" si="3"/>
        <v>938.0454545454545</v>
      </c>
      <c r="FP107" s="170">
        <f t="shared" si="4"/>
        <v>146.20409204262072</v>
      </c>
      <c r="FR107" s="175"/>
      <c r="FS107" s="195"/>
      <c r="FV107" s="175">
        <v>1528</v>
      </c>
      <c r="FW107" s="2">
        <f t="shared" si="5"/>
        <v>-1528</v>
      </c>
      <c r="FZ107" s="186"/>
      <c r="GA107" s="2"/>
      <c r="GB107" s="2"/>
    </row>
    <row r="108" spans="1:184" ht="13" x14ac:dyDescent="0.3">
      <c r="A108" s="77">
        <v>290</v>
      </c>
      <c r="B108" s="75" t="s">
        <v>103</v>
      </c>
      <c r="C108" s="179">
        <v>8329</v>
      </c>
      <c r="D108" s="138"/>
      <c r="E108" s="142">
        <v>-0.11021721641190668</v>
      </c>
      <c r="F108" s="142">
        <v>70.348994093484848</v>
      </c>
      <c r="G108" s="183">
        <v>-2601.2726617841276</v>
      </c>
      <c r="H108" s="144"/>
      <c r="I108" s="186"/>
      <c r="K108" s="210">
        <v>41.358447209524044</v>
      </c>
      <c r="L108" s="143">
        <v>2579.9015488053788</v>
      </c>
      <c r="M108" s="146">
        <v>103.52313824872628</v>
      </c>
      <c r="N108" s="143">
        <v>9096.1700084043696</v>
      </c>
      <c r="O108" s="138">
        <v>15722</v>
      </c>
      <c r="P108" s="143">
        <v>6672</v>
      </c>
      <c r="Q108" s="184">
        <v>67164</v>
      </c>
      <c r="R108" s="184">
        <v>-60492</v>
      </c>
      <c r="S108" s="139">
        <v>27788</v>
      </c>
      <c r="T108" s="138">
        <v>32246</v>
      </c>
      <c r="U108" s="151"/>
      <c r="W108" s="183">
        <v>-125</v>
      </c>
      <c r="X108" s="183">
        <v>-18</v>
      </c>
      <c r="Y108" s="184">
        <v>-601</v>
      </c>
      <c r="Z108" s="130">
        <v>2546</v>
      </c>
      <c r="AA108" s="130">
        <v>0</v>
      </c>
      <c r="AB108" s="130">
        <v>0</v>
      </c>
      <c r="AC108" s="184">
        <v>-3147</v>
      </c>
      <c r="AD108" s="184">
        <v>43</v>
      </c>
      <c r="AE108" s="184">
        <v>0</v>
      </c>
      <c r="AF108" s="183">
        <v>0</v>
      </c>
      <c r="AG108" s="183">
        <v>-3104</v>
      </c>
      <c r="AH108" s="183">
        <v>-182</v>
      </c>
      <c r="AI108" s="183">
        <v>-655</v>
      </c>
      <c r="AJ108" s="167"/>
      <c r="AK108" s="183">
        <v>-42</v>
      </c>
      <c r="AL108" s="183">
        <v>-3539</v>
      </c>
      <c r="AM108" s="180">
        <v>-4025</v>
      </c>
      <c r="AN108" s="139">
        <v>27788</v>
      </c>
      <c r="AO108" s="138">
        <v>22756</v>
      </c>
      <c r="AP108" s="184">
        <v>2888</v>
      </c>
      <c r="AQ108" s="138">
        <v>2144</v>
      </c>
      <c r="AR108" s="109">
        <v>21.5</v>
      </c>
      <c r="AS108" s="144"/>
      <c r="AT108" s="139">
        <v>269</v>
      </c>
      <c r="AU108" s="228">
        <v>8190</v>
      </c>
      <c r="AV108" s="138"/>
      <c r="AW108" s="224">
        <v>0.27873590006525589</v>
      </c>
      <c r="AX108" s="225">
        <v>72.262277241191669</v>
      </c>
      <c r="AY108" s="139">
        <v>-2720.5128205128203</v>
      </c>
      <c r="AZ108" s="144"/>
      <c r="BA108"/>
      <c r="BC108" s="189">
        <v>39.827888919112738</v>
      </c>
      <c r="BD108" s="183">
        <v>2731.9902319902321</v>
      </c>
      <c r="BE108" s="140">
        <v>111.42016153237469</v>
      </c>
      <c r="BF108" s="139">
        <v>8949.6947496947505</v>
      </c>
      <c r="BG108" s="184">
        <v>15495</v>
      </c>
      <c r="BH108" s="216">
        <v>5809</v>
      </c>
      <c r="BI108" s="216">
        <v>66242</v>
      </c>
      <c r="BJ108" s="216">
        <v>-60433</v>
      </c>
      <c r="BK108" s="216">
        <v>28258</v>
      </c>
      <c r="BL108" s="216">
        <v>32092</v>
      </c>
      <c r="BM108" s="151"/>
      <c r="BO108" s="216">
        <v>-120</v>
      </c>
      <c r="BP108" s="216">
        <v>1517</v>
      </c>
      <c r="BQ108" s="216">
        <v>1314</v>
      </c>
      <c r="BR108" s="216">
        <v>2939</v>
      </c>
      <c r="BS108" s="216">
        <v>0</v>
      </c>
      <c r="BT108" s="216">
        <v>0</v>
      </c>
      <c r="BU108" s="216">
        <v>-1625</v>
      </c>
      <c r="BV108" s="184">
        <v>43</v>
      </c>
      <c r="BW108" s="184">
        <v>0</v>
      </c>
      <c r="BX108" s="183">
        <v>0</v>
      </c>
      <c r="BY108" s="183">
        <v>-1582</v>
      </c>
      <c r="BZ108" s="183">
        <v>-1764</v>
      </c>
      <c r="CA108" s="183">
        <v>1117</v>
      </c>
      <c r="CB108" s="167"/>
      <c r="CC108" s="183">
        <v>622</v>
      </c>
      <c r="CD108" s="183">
        <v>-3226</v>
      </c>
      <c r="CE108" s="180">
        <v>-720</v>
      </c>
      <c r="CF108" s="139">
        <v>28258</v>
      </c>
      <c r="CG108" s="216">
        <v>23205</v>
      </c>
      <c r="CH108" s="216">
        <v>2912</v>
      </c>
      <c r="CI108" s="216">
        <v>2141</v>
      </c>
      <c r="CJ108" s="212">
        <v>21.5</v>
      </c>
      <c r="CK108" s="144"/>
      <c r="CL108" s="130">
        <v>148</v>
      </c>
      <c r="CM108" s="228">
        <v>8042</v>
      </c>
      <c r="CN108" s="138"/>
      <c r="CO108" s="142">
        <v>0.66047120418848171</v>
      </c>
      <c r="CP108" s="142">
        <v>69.663641673671165</v>
      </c>
      <c r="CQ108" s="183">
        <v>-2576.1004725192738</v>
      </c>
      <c r="CR108" s="144"/>
      <c r="CS108"/>
      <c r="CU108" s="232">
        <v>38.413594258020979</v>
      </c>
      <c r="CV108" s="143">
        <v>3028.22680925143</v>
      </c>
      <c r="CW108" s="146">
        <v>119.35020207580864</v>
      </c>
      <c r="CX108" s="143">
        <v>9261.004725192739</v>
      </c>
      <c r="CY108" s="131">
        <v>14737</v>
      </c>
      <c r="CZ108" s="229">
        <v>6332</v>
      </c>
      <c r="DA108" s="229">
        <v>68525</v>
      </c>
      <c r="DB108" s="216">
        <v>-62193</v>
      </c>
      <c r="DC108" s="229">
        <v>28987</v>
      </c>
      <c r="DD108" s="229">
        <v>35025</v>
      </c>
      <c r="DE108" s="151"/>
      <c r="DG108" s="229">
        <v>-119</v>
      </c>
      <c r="DH108" s="229">
        <v>643</v>
      </c>
      <c r="DI108" s="229">
        <v>2343</v>
      </c>
      <c r="DJ108" s="229">
        <v>3245</v>
      </c>
      <c r="DK108" s="229">
        <v>0</v>
      </c>
      <c r="DL108" s="229">
        <v>0</v>
      </c>
      <c r="DM108" s="229">
        <v>-902</v>
      </c>
      <c r="DN108" s="131">
        <v>43</v>
      </c>
      <c r="DO108" s="131">
        <v>0</v>
      </c>
      <c r="DP108" s="130">
        <v>0</v>
      </c>
      <c r="DQ108" s="130">
        <v>-859</v>
      </c>
      <c r="DR108" s="130">
        <v>-2625</v>
      </c>
      <c r="DS108" s="130">
        <v>2746</v>
      </c>
      <c r="DT108" s="167"/>
      <c r="DU108" s="183">
        <v>-677</v>
      </c>
      <c r="DV108" s="183">
        <v>-3640</v>
      </c>
      <c r="DW108" s="180">
        <v>1575</v>
      </c>
      <c r="DX108" s="130">
        <v>28987</v>
      </c>
      <c r="DY108" s="229">
        <v>23643</v>
      </c>
      <c r="DZ108" s="229">
        <v>3356</v>
      </c>
      <c r="EA108" s="229">
        <v>1988</v>
      </c>
      <c r="EB108" s="212">
        <v>22</v>
      </c>
      <c r="EC108" s="208"/>
      <c r="ED108" s="183">
        <v>277.654411764705</v>
      </c>
      <c r="EE108" s="3">
        <v>45107</v>
      </c>
      <c r="EF108" s="183">
        <v>45066</v>
      </c>
      <c r="EG108" s="130">
        <v>48283</v>
      </c>
      <c r="EH108" s="130"/>
      <c r="EI108" s="130"/>
      <c r="EJ108" s="130"/>
      <c r="EK108" s="183">
        <v>-3833</v>
      </c>
      <c r="EL108" s="183">
        <v>341</v>
      </c>
      <c r="EM108" s="183">
        <v>122</v>
      </c>
      <c r="EN108" s="226">
        <v>-2836</v>
      </c>
      <c r="EO108" s="226">
        <v>276</v>
      </c>
      <c r="EP108" s="226">
        <v>723</v>
      </c>
      <c r="EQ108" s="226">
        <v>-1354</v>
      </c>
      <c r="ER108" s="230">
        <v>39</v>
      </c>
      <c r="ES108" s="230">
        <v>144</v>
      </c>
      <c r="ET108" s="3">
        <v>9000</v>
      </c>
      <c r="EU108" s="211">
        <v>-5500</v>
      </c>
      <c r="EV108" s="183">
        <v>7000</v>
      </c>
      <c r="EW108" s="183">
        <v>0</v>
      </c>
      <c r="EX108" s="130">
        <v>0</v>
      </c>
      <c r="EY108" s="183">
        <v>3000</v>
      </c>
      <c r="EZ108" s="3">
        <v>36486</v>
      </c>
      <c r="FA108" s="3">
        <v>33260</v>
      </c>
      <c r="FB108" s="3">
        <v>3226</v>
      </c>
      <c r="FC108" s="3">
        <v>149</v>
      </c>
      <c r="FD108" s="226">
        <v>40260</v>
      </c>
      <c r="FE108" s="183">
        <v>36620</v>
      </c>
      <c r="FF108" s="183">
        <v>3640</v>
      </c>
      <c r="FG108" s="183">
        <v>50</v>
      </c>
      <c r="FH108" s="230">
        <v>39621</v>
      </c>
      <c r="FI108" s="130">
        <v>33338</v>
      </c>
      <c r="FJ108" s="130">
        <v>6283</v>
      </c>
      <c r="FK108" s="130">
        <v>50</v>
      </c>
      <c r="FL108" s="29">
        <v>6673.6703085604513</v>
      </c>
      <c r="FM108" s="139">
        <v>7610.3785103785103</v>
      </c>
      <c r="FN108" s="139">
        <v>7908.6048246704795</v>
      </c>
      <c r="FO108" s="172">
        <f t="shared" si="3"/>
        <v>1074.6818181818182</v>
      </c>
      <c r="FP108" s="170">
        <f t="shared" si="4"/>
        <v>133.63365060704032</v>
      </c>
      <c r="FR108" s="175"/>
      <c r="FS108" s="195"/>
      <c r="FV108" s="175">
        <v>3111</v>
      </c>
      <c r="FW108" s="2">
        <f t="shared" si="5"/>
        <v>-3111</v>
      </c>
      <c r="FZ108" s="186"/>
      <c r="GA108" s="2"/>
      <c r="GB108" s="2"/>
    </row>
    <row r="109" spans="1:184" ht="13" x14ac:dyDescent="0.3">
      <c r="A109" s="77">
        <v>291</v>
      </c>
      <c r="B109" s="75" t="s">
        <v>104</v>
      </c>
      <c r="C109" s="179">
        <v>2238</v>
      </c>
      <c r="D109" s="138"/>
      <c r="E109" s="142">
        <v>24.92</v>
      </c>
      <c r="F109" s="142">
        <v>17.101538778240954</v>
      </c>
      <c r="G109" s="183">
        <v>335.12064343163541</v>
      </c>
      <c r="H109" s="144"/>
      <c r="I109" s="186"/>
      <c r="K109" s="210">
        <v>82.785664213109001</v>
      </c>
      <c r="L109" s="143">
        <v>1556.3002680965149</v>
      </c>
      <c r="M109" s="146">
        <v>60.219553787125193</v>
      </c>
      <c r="N109" s="143">
        <v>9432.9758713136725</v>
      </c>
      <c r="O109" s="138">
        <v>4219</v>
      </c>
      <c r="P109" s="143">
        <v>2746</v>
      </c>
      <c r="Q109" s="184">
        <v>18326</v>
      </c>
      <c r="R109" s="184">
        <v>-15580</v>
      </c>
      <c r="S109" s="139">
        <v>8040</v>
      </c>
      <c r="T109" s="138">
        <v>8645</v>
      </c>
      <c r="U109" s="151"/>
      <c r="W109" s="183">
        <v>91</v>
      </c>
      <c r="X109" s="183">
        <v>47</v>
      </c>
      <c r="Y109" s="184">
        <v>1243</v>
      </c>
      <c r="Z109" s="130">
        <v>1108</v>
      </c>
      <c r="AA109" s="131">
        <v>0</v>
      </c>
      <c r="AB109" s="130">
        <v>0</v>
      </c>
      <c r="AC109" s="184">
        <v>135</v>
      </c>
      <c r="AD109" s="184">
        <v>0</v>
      </c>
      <c r="AE109" s="183">
        <v>0</v>
      </c>
      <c r="AF109" s="183">
        <v>0</v>
      </c>
      <c r="AG109" s="183">
        <v>135</v>
      </c>
      <c r="AH109" s="183">
        <v>6210</v>
      </c>
      <c r="AI109" s="183">
        <v>1228</v>
      </c>
      <c r="AJ109" s="167"/>
      <c r="AK109" s="183">
        <v>571</v>
      </c>
      <c r="AL109" s="183">
        <v>-47</v>
      </c>
      <c r="AM109" s="180">
        <v>-1339</v>
      </c>
      <c r="AN109" s="139">
        <v>8040</v>
      </c>
      <c r="AO109" s="138">
        <v>5685</v>
      </c>
      <c r="AP109" s="184">
        <v>1013</v>
      </c>
      <c r="AQ109" s="138">
        <v>1342</v>
      </c>
      <c r="AR109" s="109">
        <v>20.75</v>
      </c>
      <c r="AS109" s="144"/>
      <c r="AT109" s="139">
        <v>28</v>
      </c>
      <c r="AU109" s="228">
        <v>2206</v>
      </c>
      <c r="AV109" s="138"/>
      <c r="AW109" s="224">
        <v>1.9968203497615262</v>
      </c>
      <c r="AX109" s="225">
        <v>24.154714441050071</v>
      </c>
      <c r="AY109" s="139">
        <v>104.71441523118767</v>
      </c>
      <c r="AZ109" s="144"/>
      <c r="BA109"/>
      <c r="BC109" s="189">
        <v>77.775922524628484</v>
      </c>
      <c r="BD109" s="183">
        <v>1617.4070716228468</v>
      </c>
      <c r="BE109" s="140">
        <v>64.519197423829581</v>
      </c>
      <c r="BF109" s="139">
        <v>9150.0453309156837</v>
      </c>
      <c r="BG109" s="184">
        <v>4590</v>
      </c>
      <c r="BH109" s="216">
        <v>2933</v>
      </c>
      <c r="BI109" s="216">
        <v>18634</v>
      </c>
      <c r="BJ109" s="216">
        <v>-15701</v>
      </c>
      <c r="BK109" s="216">
        <v>8139</v>
      </c>
      <c r="BL109" s="216">
        <v>8241</v>
      </c>
      <c r="BM109" s="151"/>
      <c r="BO109" s="216">
        <v>72</v>
      </c>
      <c r="BP109" s="216">
        <v>189</v>
      </c>
      <c r="BQ109" s="216">
        <v>940</v>
      </c>
      <c r="BR109" s="216">
        <v>1203</v>
      </c>
      <c r="BS109" s="216">
        <v>0</v>
      </c>
      <c r="BT109" s="216">
        <v>0</v>
      </c>
      <c r="BU109" s="216">
        <v>-263</v>
      </c>
      <c r="BV109" s="184">
        <v>0</v>
      </c>
      <c r="BW109" s="183">
        <v>0</v>
      </c>
      <c r="BX109" s="183">
        <v>0</v>
      </c>
      <c r="BY109" s="183">
        <v>-263</v>
      </c>
      <c r="BZ109" s="183">
        <v>5947</v>
      </c>
      <c r="CA109" s="183">
        <v>940</v>
      </c>
      <c r="CB109" s="167"/>
      <c r="CC109" s="183">
        <v>-739</v>
      </c>
      <c r="CD109" s="183">
        <v>-47</v>
      </c>
      <c r="CE109" s="180">
        <v>-553</v>
      </c>
      <c r="CF109" s="139">
        <v>8139</v>
      </c>
      <c r="CG109" s="216">
        <v>5657</v>
      </c>
      <c r="CH109" s="216">
        <v>1110</v>
      </c>
      <c r="CI109" s="216">
        <v>1372</v>
      </c>
      <c r="CJ109" s="212">
        <v>20.75</v>
      </c>
      <c r="CK109" s="144"/>
      <c r="CL109" s="130">
        <v>51</v>
      </c>
      <c r="CM109" s="228">
        <v>2161</v>
      </c>
      <c r="CN109" s="138"/>
      <c r="CO109" s="142">
        <v>41.137254901960787</v>
      </c>
      <c r="CP109" s="142">
        <v>27.310944672626238</v>
      </c>
      <c r="CQ109" s="183">
        <v>363.25775104118463</v>
      </c>
      <c r="CR109" s="144"/>
      <c r="CS109"/>
      <c r="CU109" s="232">
        <v>75.197254221240328</v>
      </c>
      <c r="CV109" s="143">
        <v>2218.8801480795928</v>
      </c>
      <c r="CW109" s="146">
        <v>85.071452875127591</v>
      </c>
      <c r="CX109" s="143">
        <v>9520.1295696436828</v>
      </c>
      <c r="CY109" s="131">
        <v>4586</v>
      </c>
      <c r="CZ109" s="229">
        <v>2705</v>
      </c>
      <c r="DA109" s="229">
        <v>18661</v>
      </c>
      <c r="DB109" s="216">
        <v>-15956</v>
      </c>
      <c r="DC109" s="229">
        <v>8757</v>
      </c>
      <c r="DD109" s="229">
        <v>9233</v>
      </c>
      <c r="DE109" s="151"/>
      <c r="DG109" s="229">
        <v>58</v>
      </c>
      <c r="DH109" s="229">
        <v>2</v>
      </c>
      <c r="DI109" s="229">
        <v>2094</v>
      </c>
      <c r="DJ109" s="229">
        <v>1665</v>
      </c>
      <c r="DK109" s="229">
        <v>0</v>
      </c>
      <c r="DL109" s="229">
        <v>0</v>
      </c>
      <c r="DM109" s="229">
        <v>429</v>
      </c>
      <c r="DN109" s="131">
        <v>0</v>
      </c>
      <c r="DO109" s="130">
        <v>0</v>
      </c>
      <c r="DP109" s="130">
        <v>0</v>
      </c>
      <c r="DQ109" s="130">
        <v>429</v>
      </c>
      <c r="DR109" s="130">
        <v>6376</v>
      </c>
      <c r="DS109" s="130">
        <v>1973</v>
      </c>
      <c r="DT109" s="167"/>
      <c r="DU109" s="183">
        <v>-314</v>
      </c>
      <c r="DV109" s="183">
        <v>-47</v>
      </c>
      <c r="DW109" s="180">
        <v>656</v>
      </c>
      <c r="DX109" s="130">
        <v>8757</v>
      </c>
      <c r="DY109" s="229">
        <v>6141</v>
      </c>
      <c r="DZ109" s="229">
        <v>1227</v>
      </c>
      <c r="EA109" s="229">
        <v>1389</v>
      </c>
      <c r="EB109" s="212">
        <v>21.75</v>
      </c>
      <c r="EC109" s="208"/>
      <c r="ED109" s="183">
        <v>43.948529411764703</v>
      </c>
      <c r="EE109" s="3">
        <v>12249</v>
      </c>
      <c r="EF109" s="183">
        <v>12263</v>
      </c>
      <c r="EG109" s="130">
        <v>12240</v>
      </c>
      <c r="EH109" s="130"/>
      <c r="EI109" s="130"/>
      <c r="EJ109" s="130"/>
      <c r="EK109" s="183">
        <v>-2653</v>
      </c>
      <c r="EL109" s="183">
        <v>14</v>
      </c>
      <c r="EM109" s="183">
        <v>72</v>
      </c>
      <c r="EN109" s="226">
        <v>-1496</v>
      </c>
      <c r="EO109" s="226">
        <v>3</v>
      </c>
      <c r="EP109" s="226">
        <v>0</v>
      </c>
      <c r="EQ109" s="226">
        <v>-1536</v>
      </c>
      <c r="ER109" s="230">
        <v>12</v>
      </c>
      <c r="ES109" s="230">
        <v>207</v>
      </c>
      <c r="ET109" s="3">
        <v>0</v>
      </c>
      <c r="EU109" s="211">
        <v>-300</v>
      </c>
      <c r="EV109" s="183">
        <v>0</v>
      </c>
      <c r="EW109" s="183">
        <v>2000</v>
      </c>
      <c r="EX109" s="130">
        <v>0</v>
      </c>
      <c r="EY109" s="183">
        <v>1500</v>
      </c>
      <c r="EZ109" s="3">
        <v>465</v>
      </c>
      <c r="FA109" s="3">
        <v>418</v>
      </c>
      <c r="FB109" s="3">
        <v>47</v>
      </c>
      <c r="FC109" s="3">
        <v>537</v>
      </c>
      <c r="FD109" s="226">
        <v>2418</v>
      </c>
      <c r="FE109" s="183">
        <v>371</v>
      </c>
      <c r="FF109" s="183">
        <v>2047</v>
      </c>
      <c r="FG109" s="183">
        <v>526</v>
      </c>
      <c r="FH109" s="230">
        <v>3871</v>
      </c>
      <c r="FI109" s="130">
        <v>324</v>
      </c>
      <c r="FJ109" s="130">
        <v>3547</v>
      </c>
      <c r="FK109" s="130">
        <v>721</v>
      </c>
      <c r="FL109" s="29">
        <v>3202.4128686327076</v>
      </c>
      <c r="FM109" s="139">
        <v>3766.9990933816862</v>
      </c>
      <c r="FN109" s="139">
        <v>4021.2864414622863</v>
      </c>
      <c r="FO109" s="172">
        <f t="shared" si="3"/>
        <v>282.34482758620692</v>
      </c>
      <c r="FP109" s="170">
        <f t="shared" si="4"/>
        <v>130.65470966506567</v>
      </c>
      <c r="FR109" s="175"/>
      <c r="FS109" s="195"/>
      <c r="FV109" s="175">
        <v>780</v>
      </c>
      <c r="FW109" s="2">
        <f t="shared" si="5"/>
        <v>-780</v>
      </c>
      <c r="FZ109" s="186"/>
      <c r="GA109" s="2"/>
      <c r="GB109" s="2"/>
    </row>
    <row r="110" spans="1:184" ht="13" x14ac:dyDescent="0.3">
      <c r="A110" s="77">
        <v>297</v>
      </c>
      <c r="B110" s="75" t="s">
        <v>105</v>
      </c>
      <c r="C110" s="179">
        <v>118664</v>
      </c>
      <c r="D110" s="138"/>
      <c r="E110" s="142">
        <v>0.72888459720995213</v>
      </c>
      <c r="F110" s="142">
        <v>55.484252331684203</v>
      </c>
      <c r="G110" s="183">
        <v>-3176.70902716915</v>
      </c>
      <c r="H110" s="144"/>
      <c r="I110" s="186"/>
      <c r="K110" s="210">
        <v>53.747203915419568</v>
      </c>
      <c r="L110" s="143">
        <v>341.24924155599001</v>
      </c>
      <c r="M110" s="146">
        <v>15.647212514966698</v>
      </c>
      <c r="N110" s="143">
        <v>7960.2659610328328</v>
      </c>
      <c r="O110" s="138">
        <v>327176</v>
      </c>
      <c r="P110" s="143">
        <v>210324</v>
      </c>
      <c r="Q110" s="184">
        <v>830447</v>
      </c>
      <c r="R110" s="184">
        <v>-620123</v>
      </c>
      <c r="S110" s="139">
        <v>441274</v>
      </c>
      <c r="T110" s="138">
        <v>197256</v>
      </c>
      <c r="U110" s="151"/>
      <c r="W110" s="183">
        <v>3614</v>
      </c>
      <c r="X110" s="183">
        <v>9564</v>
      </c>
      <c r="Y110" s="184">
        <v>31585</v>
      </c>
      <c r="Z110" s="130">
        <v>48135</v>
      </c>
      <c r="AA110" s="130">
        <v>13284</v>
      </c>
      <c r="AB110" s="131">
        <v>898</v>
      </c>
      <c r="AC110" s="184">
        <v>-4164</v>
      </c>
      <c r="AD110" s="184">
        <v>216</v>
      </c>
      <c r="AE110" s="183">
        <v>0</v>
      </c>
      <c r="AF110" s="183">
        <v>0</v>
      </c>
      <c r="AG110" s="183">
        <v>-3948</v>
      </c>
      <c r="AH110" s="183">
        <v>102143</v>
      </c>
      <c r="AI110" s="183">
        <v>31335</v>
      </c>
      <c r="AJ110" s="167"/>
      <c r="AK110" s="183">
        <v>-6587</v>
      </c>
      <c r="AL110" s="183">
        <v>-44781</v>
      </c>
      <c r="AM110" s="180">
        <v>-34976</v>
      </c>
      <c r="AN110" s="139">
        <v>441274</v>
      </c>
      <c r="AO110" s="138">
        <v>378301</v>
      </c>
      <c r="AP110" s="184">
        <v>24219</v>
      </c>
      <c r="AQ110" s="138">
        <v>38754</v>
      </c>
      <c r="AR110" s="109">
        <v>20.5</v>
      </c>
      <c r="AS110" s="144"/>
      <c r="AT110" s="139">
        <v>130</v>
      </c>
      <c r="AU110" s="228">
        <v>119282</v>
      </c>
      <c r="AV110" s="138"/>
      <c r="AW110" s="224">
        <v>0.3467387095638706</v>
      </c>
      <c r="AX110" s="225">
        <v>58.074273408489695</v>
      </c>
      <c r="AY110" s="139">
        <v>-3551.8938314246911</v>
      </c>
      <c r="AZ110" s="144"/>
      <c r="BA110"/>
      <c r="BC110" s="189">
        <v>53.92654447487535</v>
      </c>
      <c r="BD110" s="183">
        <v>295.41758186482451</v>
      </c>
      <c r="BE110" s="140">
        <v>11.177518551896208</v>
      </c>
      <c r="BF110" s="139">
        <v>9646.8117570127924</v>
      </c>
      <c r="BG110" s="184">
        <v>338519</v>
      </c>
      <c r="BH110" s="216">
        <v>186664</v>
      </c>
      <c r="BI110" s="216">
        <v>870959</v>
      </c>
      <c r="BJ110" s="216">
        <v>-660008</v>
      </c>
      <c r="BK110" s="216">
        <v>464000</v>
      </c>
      <c r="BL110" s="216">
        <v>203289</v>
      </c>
      <c r="BM110" s="151"/>
      <c r="BO110" s="216">
        <v>4234</v>
      </c>
      <c r="BP110" s="216">
        <v>4971</v>
      </c>
      <c r="BQ110" s="216">
        <v>16486</v>
      </c>
      <c r="BR110" s="216">
        <v>54646</v>
      </c>
      <c r="BS110" s="216">
        <v>92867</v>
      </c>
      <c r="BT110" s="216">
        <v>0</v>
      </c>
      <c r="BU110" s="216">
        <v>54707</v>
      </c>
      <c r="BV110" s="184">
        <v>211</v>
      </c>
      <c r="BW110" s="183">
        <v>0</v>
      </c>
      <c r="BX110" s="183">
        <v>0</v>
      </c>
      <c r="BY110" s="183">
        <v>54918</v>
      </c>
      <c r="BZ110" s="183">
        <v>157061</v>
      </c>
      <c r="CA110" s="183">
        <v>11469</v>
      </c>
      <c r="CB110" s="167"/>
      <c r="CC110" s="183">
        <v>2649</v>
      </c>
      <c r="CD110" s="183">
        <v>-51734</v>
      </c>
      <c r="CE110" s="180">
        <v>74613</v>
      </c>
      <c r="CF110" s="139">
        <v>464000</v>
      </c>
      <c r="CG110" s="216">
        <v>399893</v>
      </c>
      <c r="CH110" s="216">
        <v>24028</v>
      </c>
      <c r="CI110" s="216">
        <v>40079</v>
      </c>
      <c r="CJ110" s="212">
        <v>20.5</v>
      </c>
      <c r="CK110" s="144"/>
      <c r="CL110" s="130">
        <v>161</v>
      </c>
      <c r="CM110" s="228">
        <v>120210</v>
      </c>
      <c r="CN110" s="138"/>
      <c r="CO110" s="142">
        <v>1.0975408364746007</v>
      </c>
      <c r="CP110" s="142">
        <v>62.120893815254618</v>
      </c>
      <c r="CQ110" s="183">
        <v>-3545.7199900174696</v>
      </c>
      <c r="CR110" s="144"/>
      <c r="CS110"/>
      <c r="CU110" s="232">
        <v>51.502704784166163</v>
      </c>
      <c r="CV110" s="143">
        <v>828.94101988187344</v>
      </c>
      <c r="CW110" s="146">
        <v>36.423969756146413</v>
      </c>
      <c r="CX110" s="143">
        <v>8306.7132518093331</v>
      </c>
      <c r="CY110" s="131">
        <v>331526</v>
      </c>
      <c r="CZ110" s="229">
        <v>182647</v>
      </c>
      <c r="DA110" s="229">
        <v>872198</v>
      </c>
      <c r="DB110" s="216">
        <v>-689551</v>
      </c>
      <c r="DC110" s="229">
        <v>486187</v>
      </c>
      <c r="DD110" s="229">
        <v>248504</v>
      </c>
      <c r="DE110" s="151"/>
      <c r="DG110" s="229">
        <v>7134</v>
      </c>
      <c r="DH110" s="229">
        <v>4948</v>
      </c>
      <c r="DI110" s="229">
        <v>57222</v>
      </c>
      <c r="DJ110" s="229">
        <v>47831</v>
      </c>
      <c r="DK110" s="229">
        <v>9213</v>
      </c>
      <c r="DL110" s="229">
        <v>0</v>
      </c>
      <c r="DM110" s="229">
        <v>18604</v>
      </c>
      <c r="DN110" s="131">
        <v>171</v>
      </c>
      <c r="DO110" s="130">
        <v>0</v>
      </c>
      <c r="DP110" s="130">
        <v>402</v>
      </c>
      <c r="DQ110" s="130">
        <v>19177</v>
      </c>
      <c r="DR110" s="130">
        <v>176238</v>
      </c>
      <c r="DS110" s="130">
        <v>53668</v>
      </c>
      <c r="DT110" s="167"/>
      <c r="DU110" s="183">
        <v>4020</v>
      </c>
      <c r="DV110" s="183">
        <v>-51788</v>
      </c>
      <c r="DW110" s="180">
        <v>-6765</v>
      </c>
      <c r="DX110" s="130">
        <v>486187</v>
      </c>
      <c r="DY110" s="229">
        <v>421596</v>
      </c>
      <c r="DZ110" s="229">
        <v>27485</v>
      </c>
      <c r="EA110" s="229">
        <v>37106</v>
      </c>
      <c r="EB110" s="212">
        <v>20.75</v>
      </c>
      <c r="EC110" s="208"/>
      <c r="ED110" s="183">
        <v>235.345588235294</v>
      </c>
      <c r="EE110" s="3">
        <v>393377</v>
      </c>
      <c r="EF110" s="183">
        <v>414031</v>
      </c>
      <c r="EG110" s="130">
        <v>416629</v>
      </c>
      <c r="EH110" s="130"/>
      <c r="EI110" s="130"/>
      <c r="EJ110" s="130"/>
      <c r="EK110" s="183">
        <v>-86501</v>
      </c>
      <c r="EL110" s="183">
        <v>1551</v>
      </c>
      <c r="EM110" s="183">
        <v>18639</v>
      </c>
      <c r="EN110" s="226">
        <v>-123173</v>
      </c>
      <c r="EO110" s="226">
        <v>1657</v>
      </c>
      <c r="EP110" s="226">
        <v>184660</v>
      </c>
      <c r="EQ110" s="226">
        <v>-81676</v>
      </c>
      <c r="ER110" s="230">
        <v>2923</v>
      </c>
      <c r="ES110" s="230">
        <v>18320</v>
      </c>
      <c r="ET110" s="3">
        <v>83000</v>
      </c>
      <c r="EU110" s="211">
        <v>-25000</v>
      </c>
      <c r="EV110" s="183">
        <v>105000</v>
      </c>
      <c r="EW110" s="183">
        <v>0</v>
      </c>
      <c r="EX110" s="130">
        <v>115000</v>
      </c>
      <c r="EY110" s="183">
        <v>0</v>
      </c>
      <c r="EZ110" s="3">
        <v>343027</v>
      </c>
      <c r="FA110" s="3">
        <v>294293</v>
      </c>
      <c r="FB110" s="3">
        <v>48734</v>
      </c>
      <c r="FC110" s="3">
        <v>135416</v>
      </c>
      <c r="FD110" s="226">
        <v>396294</v>
      </c>
      <c r="FE110" s="183">
        <v>346506</v>
      </c>
      <c r="FF110" s="183">
        <v>49788</v>
      </c>
      <c r="FG110" s="183">
        <v>256682</v>
      </c>
      <c r="FH110" s="230">
        <v>459505</v>
      </c>
      <c r="FI110" s="130">
        <v>396608</v>
      </c>
      <c r="FJ110" s="130">
        <v>62897</v>
      </c>
      <c r="FK110" s="130">
        <v>260756</v>
      </c>
      <c r="FL110" s="29">
        <v>8053.4871570147643</v>
      </c>
      <c r="FM110" s="139">
        <v>9020.0449355309265</v>
      </c>
      <c r="FN110" s="139">
        <v>9714.5744946343893</v>
      </c>
      <c r="FO110" s="172">
        <f t="shared" si="3"/>
        <v>20317.879518072288</v>
      </c>
      <c r="FP110" s="170">
        <f t="shared" si="4"/>
        <v>169.0198778643398</v>
      </c>
      <c r="FR110" s="175"/>
      <c r="FS110" s="195"/>
      <c r="FV110" s="175">
        <v>12990</v>
      </c>
      <c r="FW110" s="2">
        <f t="shared" si="5"/>
        <v>-12990</v>
      </c>
      <c r="FZ110" s="186"/>
      <c r="GA110" s="2"/>
      <c r="GB110" s="2"/>
    </row>
    <row r="111" spans="1:184" ht="13" x14ac:dyDescent="0.3">
      <c r="A111" s="77">
        <v>300</v>
      </c>
      <c r="B111" s="75" t="s">
        <v>106</v>
      </c>
      <c r="C111" s="179">
        <v>3572</v>
      </c>
      <c r="D111" s="138"/>
      <c r="E111" s="142">
        <v>-482.66666666666669</v>
      </c>
      <c r="F111" s="142">
        <v>35.58320487410996</v>
      </c>
      <c r="G111" s="183">
        <v>-2035.8342665173575</v>
      </c>
      <c r="H111" s="144"/>
      <c r="I111" s="186"/>
      <c r="K111" s="210">
        <v>63.669738242960463</v>
      </c>
      <c r="L111" s="143">
        <v>376.81970884658455</v>
      </c>
      <c r="M111" s="146">
        <v>17.62981304051387</v>
      </c>
      <c r="N111" s="143">
        <v>7801.5117581187005</v>
      </c>
      <c r="O111" s="138">
        <v>7444</v>
      </c>
      <c r="P111" s="143">
        <v>2973</v>
      </c>
      <c r="Q111" s="184">
        <v>25966</v>
      </c>
      <c r="R111" s="184">
        <v>-22993</v>
      </c>
      <c r="S111" s="139">
        <v>10776</v>
      </c>
      <c r="T111" s="138">
        <v>13497</v>
      </c>
      <c r="U111" s="151"/>
      <c r="W111" s="183">
        <v>38</v>
      </c>
      <c r="X111" s="183">
        <v>138</v>
      </c>
      <c r="Y111" s="184">
        <v>1456</v>
      </c>
      <c r="Z111" s="130">
        <v>1217</v>
      </c>
      <c r="AA111" s="131">
        <v>0</v>
      </c>
      <c r="AB111" s="131">
        <v>0</v>
      </c>
      <c r="AC111" s="184">
        <v>239</v>
      </c>
      <c r="AD111" s="184">
        <v>0</v>
      </c>
      <c r="AE111" s="184">
        <v>0</v>
      </c>
      <c r="AF111" s="183">
        <v>0</v>
      </c>
      <c r="AG111" s="183">
        <v>239</v>
      </c>
      <c r="AH111" s="183">
        <v>2604</v>
      </c>
      <c r="AI111" s="183">
        <v>1411</v>
      </c>
      <c r="AJ111" s="167"/>
      <c r="AK111" s="183">
        <v>147</v>
      </c>
      <c r="AL111" s="183">
        <v>-5</v>
      </c>
      <c r="AM111" s="180">
        <v>-338</v>
      </c>
      <c r="AN111" s="139">
        <v>10776</v>
      </c>
      <c r="AO111" s="138">
        <v>9230</v>
      </c>
      <c r="AP111" s="184">
        <v>707</v>
      </c>
      <c r="AQ111" s="138">
        <v>839</v>
      </c>
      <c r="AR111" s="109">
        <v>21</v>
      </c>
      <c r="AS111" s="144"/>
      <c r="AT111" s="139">
        <v>70</v>
      </c>
      <c r="AU111" s="228">
        <v>3551</v>
      </c>
      <c r="AV111" s="138"/>
      <c r="AW111" s="224">
        <v>0.78260869565217395</v>
      </c>
      <c r="AX111" s="225">
        <v>41.478678503856791</v>
      </c>
      <c r="AY111" s="139">
        <v>-2533.6524922557028</v>
      </c>
      <c r="AZ111" s="144"/>
      <c r="BA111"/>
      <c r="BC111" s="189">
        <v>59.427232673613538</v>
      </c>
      <c r="BD111" s="183">
        <v>364.12278231484089</v>
      </c>
      <c r="BE111" s="140">
        <v>15.846120269952658</v>
      </c>
      <c r="BF111" s="139">
        <v>8387.2148690509712</v>
      </c>
      <c r="BG111" s="184">
        <v>7685</v>
      </c>
      <c r="BH111" s="216">
        <v>2990</v>
      </c>
      <c r="BI111" s="216">
        <v>26551</v>
      </c>
      <c r="BJ111" s="216">
        <v>-23561</v>
      </c>
      <c r="BK111" s="216">
        <v>11113</v>
      </c>
      <c r="BL111" s="216">
        <v>13381</v>
      </c>
      <c r="BM111" s="151"/>
      <c r="BO111" s="216">
        <v>-30</v>
      </c>
      <c r="BP111" s="216">
        <v>31</v>
      </c>
      <c r="BQ111" s="216">
        <v>934</v>
      </c>
      <c r="BR111" s="216">
        <v>1268</v>
      </c>
      <c r="BS111" s="216">
        <v>0</v>
      </c>
      <c r="BT111" s="216">
        <v>0</v>
      </c>
      <c r="BU111" s="216">
        <v>-334</v>
      </c>
      <c r="BV111" s="184">
        <v>0</v>
      </c>
      <c r="BW111" s="184">
        <v>0</v>
      </c>
      <c r="BX111" s="183">
        <v>0</v>
      </c>
      <c r="BY111" s="183">
        <v>-334</v>
      </c>
      <c r="BZ111" s="183">
        <v>2256</v>
      </c>
      <c r="CA111" s="183">
        <v>940</v>
      </c>
      <c r="CB111" s="167"/>
      <c r="CC111" s="183">
        <v>-33</v>
      </c>
      <c r="CD111" s="183">
        <v>-338</v>
      </c>
      <c r="CE111" s="180">
        <v>-1756</v>
      </c>
      <c r="CF111" s="139">
        <v>11113</v>
      </c>
      <c r="CG111" s="216">
        <v>9561</v>
      </c>
      <c r="CH111" s="216">
        <v>722</v>
      </c>
      <c r="CI111" s="216">
        <v>830</v>
      </c>
      <c r="CJ111" s="212">
        <v>21</v>
      </c>
      <c r="CK111" s="144"/>
      <c r="CL111" s="130">
        <v>103</v>
      </c>
      <c r="CM111" s="228">
        <v>3534</v>
      </c>
      <c r="CN111" s="138"/>
      <c r="CO111" s="142">
        <v>6.8733509234828496</v>
      </c>
      <c r="CP111" s="142">
        <v>41.218149611663712</v>
      </c>
      <c r="CQ111" s="183">
        <v>-2747.5947934352007</v>
      </c>
      <c r="CR111" s="144"/>
      <c r="CS111"/>
      <c r="CU111" s="232">
        <v>59.716566215996089</v>
      </c>
      <c r="CV111" s="143">
        <v>428.12676853423881</v>
      </c>
      <c r="CW111" s="146">
        <v>18.037201554691837</v>
      </c>
      <c r="CX111" s="143">
        <v>8663.5540464063379</v>
      </c>
      <c r="CY111" s="131">
        <v>7768</v>
      </c>
      <c r="CZ111" s="229">
        <v>2992</v>
      </c>
      <c r="DA111" s="229">
        <v>26796</v>
      </c>
      <c r="DB111" s="216">
        <v>-23804</v>
      </c>
      <c r="DC111" s="229">
        <v>11546</v>
      </c>
      <c r="DD111" s="229">
        <v>14818</v>
      </c>
      <c r="DE111" s="151"/>
      <c r="DG111" s="229">
        <v>-25</v>
      </c>
      <c r="DH111" s="229">
        <v>29</v>
      </c>
      <c r="DI111" s="229">
        <v>2564</v>
      </c>
      <c r="DJ111" s="229">
        <v>1229</v>
      </c>
      <c r="DK111" s="229">
        <v>0</v>
      </c>
      <c r="DL111" s="229">
        <v>0</v>
      </c>
      <c r="DM111" s="229">
        <v>1335</v>
      </c>
      <c r="DN111" s="131">
        <v>0</v>
      </c>
      <c r="DO111" s="131">
        <v>0</v>
      </c>
      <c r="DP111" s="130">
        <v>0</v>
      </c>
      <c r="DQ111" s="130">
        <v>1335</v>
      </c>
      <c r="DR111" s="130">
        <v>3591</v>
      </c>
      <c r="DS111" s="130">
        <v>2533</v>
      </c>
      <c r="DT111" s="167"/>
      <c r="DU111" s="183">
        <v>234</v>
      </c>
      <c r="DV111" s="183">
        <v>-338</v>
      </c>
      <c r="DW111" s="180">
        <v>-803</v>
      </c>
      <c r="DX111" s="130">
        <v>11546</v>
      </c>
      <c r="DY111" s="229">
        <v>9895</v>
      </c>
      <c r="DZ111" s="229">
        <v>826</v>
      </c>
      <c r="EA111" s="229">
        <v>825</v>
      </c>
      <c r="EB111" s="212">
        <v>21</v>
      </c>
      <c r="EC111" s="208"/>
      <c r="ED111" s="183">
        <v>120.50735294117599</v>
      </c>
      <c r="EE111" s="3">
        <v>16315</v>
      </c>
      <c r="EF111" s="183">
        <v>16551</v>
      </c>
      <c r="EG111" s="130">
        <v>16699</v>
      </c>
      <c r="EH111" s="130"/>
      <c r="EI111" s="130"/>
      <c r="EJ111" s="130"/>
      <c r="EK111" s="183">
        <v>-1868</v>
      </c>
      <c r="EL111" s="183">
        <v>28</v>
      </c>
      <c r="EM111" s="183">
        <v>91</v>
      </c>
      <c r="EN111" s="226">
        <v>-2800</v>
      </c>
      <c r="EO111" s="226">
        <v>84</v>
      </c>
      <c r="EP111" s="226">
        <v>20</v>
      </c>
      <c r="EQ111" s="226">
        <v>-3422</v>
      </c>
      <c r="ER111" s="230">
        <v>55</v>
      </c>
      <c r="ES111" s="230">
        <v>31</v>
      </c>
      <c r="ET111" s="3">
        <v>5000</v>
      </c>
      <c r="EU111" s="211">
        <v>-5100</v>
      </c>
      <c r="EV111" s="183">
        <v>0</v>
      </c>
      <c r="EW111" s="183">
        <v>1560</v>
      </c>
      <c r="EX111" s="130">
        <v>0</v>
      </c>
      <c r="EY111" s="183">
        <v>1240</v>
      </c>
      <c r="EZ111" s="3">
        <v>6874</v>
      </c>
      <c r="FA111" s="3">
        <v>5336</v>
      </c>
      <c r="FB111" s="3">
        <v>1538</v>
      </c>
      <c r="FC111" s="3">
        <v>2175</v>
      </c>
      <c r="FD111" s="226">
        <v>8096</v>
      </c>
      <c r="FE111" s="183">
        <v>4998</v>
      </c>
      <c r="FF111" s="183">
        <v>3098</v>
      </c>
      <c r="FG111" s="183">
        <v>2145</v>
      </c>
      <c r="FH111" s="230">
        <v>8998</v>
      </c>
      <c r="FI111" s="130">
        <v>4660</v>
      </c>
      <c r="FJ111" s="130">
        <v>4338</v>
      </c>
      <c r="FK111" s="130">
        <v>2117</v>
      </c>
      <c r="FL111" s="29">
        <v>4348.8241881298991</v>
      </c>
      <c r="FM111" s="139">
        <v>5237.1163052661223</v>
      </c>
      <c r="FN111" s="139">
        <v>5757.2156196943979</v>
      </c>
      <c r="FO111" s="172">
        <f t="shared" si="3"/>
        <v>471.1904761904762</v>
      </c>
      <c r="FP111" s="170">
        <f t="shared" si="4"/>
        <v>133.33063842401705</v>
      </c>
      <c r="FR111" s="175"/>
      <c r="FS111" s="195"/>
      <c r="FV111" s="175">
        <v>0</v>
      </c>
      <c r="FW111" s="2">
        <f t="shared" si="5"/>
        <v>0</v>
      </c>
      <c r="FZ111" s="186"/>
      <c r="GA111" s="2"/>
      <c r="GB111" s="2"/>
    </row>
    <row r="112" spans="1:184" ht="13" x14ac:dyDescent="0.3">
      <c r="A112" s="77">
        <v>301</v>
      </c>
      <c r="B112" s="75" t="s">
        <v>107</v>
      </c>
      <c r="C112" s="179">
        <v>20952</v>
      </c>
      <c r="D112" s="138"/>
      <c r="E112" s="142">
        <v>1.0049824481938625</v>
      </c>
      <c r="F112" s="142">
        <v>65.332192366934791</v>
      </c>
      <c r="G112" s="183">
        <v>-2678.2168766704849</v>
      </c>
      <c r="H112" s="144"/>
      <c r="I112" s="186"/>
      <c r="K112" s="210">
        <v>54.298352034819224</v>
      </c>
      <c r="L112" s="143">
        <v>1770.0935471554028</v>
      </c>
      <c r="M112" s="146">
        <v>80.748474418549165</v>
      </c>
      <c r="N112" s="143">
        <v>8001.1932035127911</v>
      </c>
      <c r="O112" s="138">
        <v>44258</v>
      </c>
      <c r="P112" s="143">
        <v>21077</v>
      </c>
      <c r="Q112" s="184">
        <v>147481</v>
      </c>
      <c r="R112" s="184">
        <v>-126404</v>
      </c>
      <c r="S112" s="139">
        <v>63772</v>
      </c>
      <c r="T112" s="138">
        <v>61226</v>
      </c>
      <c r="U112" s="151"/>
      <c r="W112" s="183">
        <v>7</v>
      </c>
      <c r="X112" s="183">
        <v>9570</v>
      </c>
      <c r="Y112" s="184">
        <v>8171</v>
      </c>
      <c r="Z112" s="130">
        <v>6714</v>
      </c>
      <c r="AA112" s="130">
        <v>0</v>
      </c>
      <c r="AB112" s="130">
        <v>0</v>
      </c>
      <c r="AC112" s="184">
        <v>1457</v>
      </c>
      <c r="AD112" s="183">
        <v>313</v>
      </c>
      <c r="AE112" s="183">
        <v>0</v>
      </c>
      <c r="AF112" s="183">
        <v>0</v>
      </c>
      <c r="AG112" s="183">
        <v>1770</v>
      </c>
      <c r="AH112" s="183">
        <v>22516</v>
      </c>
      <c r="AI112" s="183">
        <v>8350</v>
      </c>
      <c r="AJ112" s="167"/>
      <c r="AK112" s="183">
        <v>141</v>
      </c>
      <c r="AL112" s="183">
        <v>-8127</v>
      </c>
      <c r="AM112" s="180">
        <v>-2717</v>
      </c>
      <c r="AN112" s="139">
        <v>63772</v>
      </c>
      <c r="AO112" s="138">
        <v>55377</v>
      </c>
      <c r="AP112" s="184">
        <v>4019</v>
      </c>
      <c r="AQ112" s="138">
        <v>4376</v>
      </c>
      <c r="AR112" s="109">
        <v>21</v>
      </c>
      <c r="AS112" s="144"/>
      <c r="AT112" s="139">
        <v>74</v>
      </c>
      <c r="AU112" s="228">
        <v>20678</v>
      </c>
      <c r="AV112" s="138"/>
      <c r="AW112" s="224">
        <v>0.36821984839548244</v>
      </c>
      <c r="AX112" s="225">
        <v>64.1148719074003</v>
      </c>
      <c r="AY112" s="139">
        <v>-2666.9890705097205</v>
      </c>
      <c r="AZ112" s="144"/>
      <c r="BA112"/>
      <c r="BC112" s="189">
        <v>52.222882345833163</v>
      </c>
      <c r="BD112" s="183">
        <v>1749.1053293355255</v>
      </c>
      <c r="BE112" s="140">
        <v>77.684069296676398</v>
      </c>
      <c r="BF112" s="139">
        <v>8218.2029209788179</v>
      </c>
      <c r="BG112" s="184">
        <v>44862</v>
      </c>
      <c r="BH112" s="216">
        <v>20161</v>
      </c>
      <c r="BI112" s="216">
        <v>152925</v>
      </c>
      <c r="BJ112" s="216">
        <v>-132764</v>
      </c>
      <c r="BK112" s="216">
        <v>64910</v>
      </c>
      <c r="BL112" s="216">
        <v>60761</v>
      </c>
      <c r="BM112" s="151"/>
      <c r="BO112" s="216">
        <v>135</v>
      </c>
      <c r="BP112" s="216">
        <v>10590</v>
      </c>
      <c r="BQ112" s="216">
        <v>3632</v>
      </c>
      <c r="BR112" s="216">
        <v>14932</v>
      </c>
      <c r="BS112" s="216">
        <v>0</v>
      </c>
      <c r="BT112" s="216">
        <v>0</v>
      </c>
      <c r="BU112" s="216">
        <v>-11300</v>
      </c>
      <c r="BV112" s="183">
        <v>305</v>
      </c>
      <c r="BW112" s="183">
        <v>0</v>
      </c>
      <c r="BX112" s="183">
        <v>0</v>
      </c>
      <c r="BY112" s="183">
        <v>-10995</v>
      </c>
      <c r="BZ112" s="183">
        <v>11520</v>
      </c>
      <c r="CA112" s="183">
        <v>3377</v>
      </c>
      <c r="CB112" s="167"/>
      <c r="CC112" s="183">
        <v>50</v>
      </c>
      <c r="CD112" s="183">
        <v>-11236</v>
      </c>
      <c r="CE112" s="180">
        <v>153</v>
      </c>
      <c r="CF112" s="139">
        <v>64910</v>
      </c>
      <c r="CG112" s="216">
        <v>56851</v>
      </c>
      <c r="CH112" s="216">
        <v>3524</v>
      </c>
      <c r="CI112" s="216">
        <v>4535</v>
      </c>
      <c r="CJ112" s="212">
        <v>21</v>
      </c>
      <c r="CK112" s="144"/>
      <c r="CL112" s="130">
        <v>137</v>
      </c>
      <c r="CM112" s="228">
        <v>20456</v>
      </c>
      <c r="CN112" s="138"/>
      <c r="CO112" s="142">
        <v>1.2634704675521002</v>
      </c>
      <c r="CP112" s="142">
        <v>60.205525259800389</v>
      </c>
      <c r="CQ112" s="183">
        <v>-2477.7082518576458</v>
      </c>
      <c r="CR112" s="144"/>
      <c r="CS112"/>
      <c r="CU112" s="232">
        <v>52.388813847616191</v>
      </c>
      <c r="CV112" s="143">
        <v>1989.1474384043802</v>
      </c>
      <c r="CW112" s="146">
        <v>86.777818028840542</v>
      </c>
      <c r="CX112" s="143">
        <v>8366.6405944466169</v>
      </c>
      <c r="CY112" s="131">
        <v>43820</v>
      </c>
      <c r="CZ112" s="229">
        <v>18182</v>
      </c>
      <c r="DA112" s="229">
        <v>156433</v>
      </c>
      <c r="DB112" s="216">
        <v>-138251</v>
      </c>
      <c r="DC112" s="229">
        <v>67889</v>
      </c>
      <c r="DD112" s="229">
        <v>69433</v>
      </c>
      <c r="DE112" s="151"/>
      <c r="DG112" s="229">
        <v>277</v>
      </c>
      <c r="DH112" s="229">
        <v>11923</v>
      </c>
      <c r="DI112" s="229">
        <v>11271</v>
      </c>
      <c r="DJ112" s="229">
        <v>7261</v>
      </c>
      <c r="DK112" s="229">
        <v>0</v>
      </c>
      <c r="DL112" s="229">
        <v>0</v>
      </c>
      <c r="DM112" s="229">
        <v>4010</v>
      </c>
      <c r="DN112" s="130">
        <v>292</v>
      </c>
      <c r="DO112" s="130">
        <v>0</v>
      </c>
      <c r="DP112" s="130">
        <v>0</v>
      </c>
      <c r="DQ112" s="130">
        <v>4302</v>
      </c>
      <c r="DR112" s="130">
        <v>12809</v>
      </c>
      <c r="DS112" s="130">
        <v>11417</v>
      </c>
      <c r="DT112" s="167"/>
      <c r="DU112" s="183">
        <v>-64</v>
      </c>
      <c r="DV112" s="183">
        <v>-8831</v>
      </c>
      <c r="DW112" s="180">
        <v>7335</v>
      </c>
      <c r="DX112" s="130">
        <v>67889</v>
      </c>
      <c r="DY112" s="229">
        <v>59870</v>
      </c>
      <c r="DZ112" s="229">
        <v>3868</v>
      </c>
      <c r="EA112" s="229">
        <v>4151</v>
      </c>
      <c r="EB112" s="212">
        <v>21</v>
      </c>
      <c r="EC112" s="208"/>
      <c r="ED112" s="183">
        <v>208.14705882352899</v>
      </c>
      <c r="EE112" s="3">
        <v>91337</v>
      </c>
      <c r="EF112" s="183">
        <v>95484</v>
      </c>
      <c r="EG112" s="130">
        <v>99634</v>
      </c>
      <c r="EH112" s="130"/>
      <c r="EI112" s="130"/>
      <c r="EJ112" s="130"/>
      <c r="EK112" s="183">
        <v>-11182</v>
      </c>
      <c r="EL112" s="183">
        <v>20</v>
      </c>
      <c r="EM112" s="183">
        <v>95</v>
      </c>
      <c r="EN112" s="226">
        <v>-5068</v>
      </c>
      <c r="EO112" s="226">
        <v>81</v>
      </c>
      <c r="EP112" s="226">
        <v>1763</v>
      </c>
      <c r="EQ112" s="226">
        <v>-4763</v>
      </c>
      <c r="ER112" s="230">
        <v>130</v>
      </c>
      <c r="ES112" s="230">
        <v>551</v>
      </c>
      <c r="ET112" s="3">
        <v>3201</v>
      </c>
      <c r="EU112" s="211">
        <v>6000</v>
      </c>
      <c r="EV112" s="183">
        <v>12442</v>
      </c>
      <c r="EW112" s="183">
        <v>-1000</v>
      </c>
      <c r="EX112" s="130">
        <v>7000</v>
      </c>
      <c r="EY112" s="183">
        <v>-3000</v>
      </c>
      <c r="EZ112" s="3">
        <v>81362</v>
      </c>
      <c r="FA112" s="3">
        <v>58367</v>
      </c>
      <c r="FB112" s="3">
        <v>22995</v>
      </c>
      <c r="FC112" s="3">
        <v>24033</v>
      </c>
      <c r="FD112" s="226">
        <v>81568</v>
      </c>
      <c r="FE112" s="183">
        <v>58736</v>
      </c>
      <c r="FF112" s="183">
        <v>22832</v>
      </c>
      <c r="FG112" s="183">
        <v>23379</v>
      </c>
      <c r="FH112" s="230">
        <v>76737</v>
      </c>
      <c r="FI112" s="130">
        <v>55852</v>
      </c>
      <c r="FJ112" s="130">
        <v>20885</v>
      </c>
      <c r="FK112" s="130">
        <v>23449</v>
      </c>
      <c r="FL112" s="29">
        <v>6436.3306605574644</v>
      </c>
      <c r="FM112" s="139">
        <v>6638.2145275171679</v>
      </c>
      <c r="FN112" s="139">
        <v>6451.4567852952687</v>
      </c>
      <c r="FO112" s="172">
        <f t="shared" si="3"/>
        <v>2850.9523809523807</v>
      </c>
      <c r="FP112" s="170">
        <f t="shared" si="4"/>
        <v>139.36998342551723</v>
      </c>
      <c r="FR112" s="175"/>
      <c r="FS112" s="195"/>
      <c r="FV112" s="175">
        <v>1962</v>
      </c>
      <c r="FW112" s="2">
        <f t="shared" si="5"/>
        <v>-1962</v>
      </c>
      <c r="FZ112" s="186"/>
      <c r="GA112" s="2"/>
      <c r="GB112" s="2"/>
    </row>
    <row r="113" spans="1:184" ht="13" x14ac:dyDescent="0.3">
      <c r="A113" s="77">
        <v>304</v>
      </c>
      <c r="B113" s="75" t="s">
        <v>108</v>
      </c>
      <c r="C113" s="179">
        <v>926</v>
      </c>
      <c r="D113" s="138"/>
      <c r="E113" s="142">
        <v>1.901098901098901</v>
      </c>
      <c r="F113" s="142">
        <v>27.397751734034919</v>
      </c>
      <c r="G113" s="183">
        <v>-649.02807775377971</v>
      </c>
      <c r="H113" s="144"/>
      <c r="I113" s="186"/>
      <c r="K113" s="210">
        <v>77.350889260096295</v>
      </c>
      <c r="L113" s="143">
        <v>1265.658747300216</v>
      </c>
      <c r="M113" s="146">
        <v>51.720469108934829</v>
      </c>
      <c r="N113" s="143">
        <v>8931.9654427645783</v>
      </c>
      <c r="O113" s="138">
        <v>2643</v>
      </c>
      <c r="P113" s="143">
        <v>1588</v>
      </c>
      <c r="Q113" s="184">
        <v>7661</v>
      </c>
      <c r="R113" s="184">
        <v>-6073</v>
      </c>
      <c r="S113" s="139">
        <v>4471</v>
      </c>
      <c r="T113" s="138">
        <v>2303</v>
      </c>
      <c r="U113" s="151"/>
      <c r="W113" s="183">
        <v>-21</v>
      </c>
      <c r="X113" s="183">
        <v>-9</v>
      </c>
      <c r="Y113" s="184">
        <v>671</v>
      </c>
      <c r="Z113" s="130">
        <v>385</v>
      </c>
      <c r="AA113" s="131">
        <v>0</v>
      </c>
      <c r="AB113" s="130">
        <v>0</v>
      </c>
      <c r="AC113" s="184">
        <v>286</v>
      </c>
      <c r="AD113" s="183">
        <v>28</v>
      </c>
      <c r="AE113" s="183">
        <v>0</v>
      </c>
      <c r="AF113" s="183">
        <v>0</v>
      </c>
      <c r="AG113" s="183">
        <v>314</v>
      </c>
      <c r="AH113" s="183">
        <v>3633</v>
      </c>
      <c r="AI113" s="183">
        <v>667</v>
      </c>
      <c r="AJ113" s="167"/>
      <c r="AK113" s="183">
        <v>161</v>
      </c>
      <c r="AL113" s="183">
        <v>-343</v>
      </c>
      <c r="AM113" s="180">
        <v>460</v>
      </c>
      <c r="AN113" s="139">
        <v>4471</v>
      </c>
      <c r="AO113" s="138">
        <v>2827</v>
      </c>
      <c r="AP113" s="184">
        <v>223</v>
      </c>
      <c r="AQ113" s="138">
        <v>1421</v>
      </c>
      <c r="AR113" s="109">
        <v>18.75</v>
      </c>
      <c r="AS113" s="144"/>
      <c r="AT113" s="139">
        <v>11</v>
      </c>
      <c r="AU113" s="228">
        <v>949</v>
      </c>
      <c r="AV113" s="138"/>
      <c r="AW113" s="224">
        <v>1.2055575347345922</v>
      </c>
      <c r="AX113" s="225">
        <v>37.98373182154301</v>
      </c>
      <c r="AY113" s="139">
        <v>-1265.5426765015807</v>
      </c>
      <c r="AZ113" s="144"/>
      <c r="BA113"/>
      <c r="BC113" s="189">
        <v>71.807250865367095</v>
      </c>
      <c r="BD113" s="183">
        <v>1412.0126448893573</v>
      </c>
      <c r="BE113" s="140">
        <v>53.652917946467745</v>
      </c>
      <c r="BF113" s="139">
        <v>9605.9009483667014</v>
      </c>
      <c r="BG113" s="184">
        <v>2591</v>
      </c>
      <c r="BH113" s="216">
        <v>1396</v>
      </c>
      <c r="BI113" s="216">
        <v>7691</v>
      </c>
      <c r="BJ113" s="216">
        <v>-6295</v>
      </c>
      <c r="BK113" s="216">
        <v>4586</v>
      </c>
      <c r="BL113" s="216">
        <v>2132</v>
      </c>
      <c r="BM113" s="151"/>
      <c r="BO113" s="216">
        <v>-20</v>
      </c>
      <c r="BP113" s="216">
        <v>0</v>
      </c>
      <c r="BQ113" s="216">
        <v>403</v>
      </c>
      <c r="BR113" s="216">
        <v>392</v>
      </c>
      <c r="BS113" s="216">
        <v>0</v>
      </c>
      <c r="BT113" s="216">
        <v>0</v>
      </c>
      <c r="BU113" s="216">
        <v>11</v>
      </c>
      <c r="BV113" s="183">
        <v>28</v>
      </c>
      <c r="BW113" s="183">
        <v>0</v>
      </c>
      <c r="BX113" s="183">
        <v>0</v>
      </c>
      <c r="BY113" s="183">
        <v>39</v>
      </c>
      <c r="BZ113" s="183">
        <v>3672</v>
      </c>
      <c r="CA113" s="183">
        <v>403</v>
      </c>
      <c r="CB113" s="167"/>
      <c r="CC113" s="183">
        <v>-34</v>
      </c>
      <c r="CD113" s="183">
        <v>-353</v>
      </c>
      <c r="CE113" s="180">
        <v>-544</v>
      </c>
      <c r="CF113" s="139">
        <v>4586</v>
      </c>
      <c r="CG113" s="216">
        <v>2913</v>
      </c>
      <c r="CH113" s="216">
        <v>232</v>
      </c>
      <c r="CI113" s="216">
        <v>1441</v>
      </c>
      <c r="CJ113" s="212">
        <v>18.5</v>
      </c>
      <c r="CK113" s="144"/>
      <c r="CL113" s="130">
        <v>53</v>
      </c>
      <c r="CM113" s="228">
        <v>962</v>
      </c>
      <c r="CN113" s="138"/>
      <c r="CO113" s="142">
        <v>2.1473214285714284</v>
      </c>
      <c r="CP113" s="142">
        <v>34.650244015802926</v>
      </c>
      <c r="CQ113" s="183">
        <v>-1117.4636174636175</v>
      </c>
      <c r="CR113" s="144"/>
      <c r="CS113"/>
      <c r="CU113" s="232">
        <v>73.740029801034268</v>
      </c>
      <c r="CV113" s="143">
        <v>1215.1767151767151</v>
      </c>
      <c r="CW113" s="146">
        <v>47.653004243913337</v>
      </c>
      <c r="CX113" s="143">
        <v>9307.6923076923085</v>
      </c>
      <c r="CY113" s="131">
        <v>2763</v>
      </c>
      <c r="CZ113" s="229">
        <v>1530</v>
      </c>
      <c r="DA113" s="229">
        <v>7646</v>
      </c>
      <c r="DB113" s="216">
        <v>-6116</v>
      </c>
      <c r="DC113" s="229">
        <v>4653</v>
      </c>
      <c r="DD113" s="229">
        <v>2423</v>
      </c>
      <c r="DE113" s="151"/>
      <c r="DG113" s="229">
        <v>-20</v>
      </c>
      <c r="DH113" s="229">
        <v>2</v>
      </c>
      <c r="DI113" s="229">
        <v>942</v>
      </c>
      <c r="DJ113" s="229">
        <v>412</v>
      </c>
      <c r="DK113" s="229">
        <v>0</v>
      </c>
      <c r="DL113" s="229">
        <v>0</v>
      </c>
      <c r="DM113" s="229">
        <v>530</v>
      </c>
      <c r="DN113" s="130">
        <v>-472</v>
      </c>
      <c r="DO113" s="130">
        <v>0</v>
      </c>
      <c r="DP113" s="130">
        <v>0</v>
      </c>
      <c r="DQ113" s="130">
        <v>58</v>
      </c>
      <c r="DR113" s="130">
        <v>3730</v>
      </c>
      <c r="DS113" s="130">
        <v>937</v>
      </c>
      <c r="DT113" s="167"/>
      <c r="DU113" s="183">
        <v>-197</v>
      </c>
      <c r="DV113" s="183">
        <v>-428</v>
      </c>
      <c r="DW113" s="180">
        <v>120</v>
      </c>
      <c r="DX113" s="130">
        <v>4653</v>
      </c>
      <c r="DY113" s="229">
        <v>3114</v>
      </c>
      <c r="DZ113" s="229">
        <v>258</v>
      </c>
      <c r="EA113" s="229">
        <v>1281</v>
      </c>
      <c r="EB113" s="212">
        <v>18.25</v>
      </c>
      <c r="EC113" s="208"/>
      <c r="ED113" s="183">
        <v>39.919117647058897</v>
      </c>
      <c r="EE113" s="3">
        <v>3946</v>
      </c>
      <c r="EF113" s="183">
        <v>4117</v>
      </c>
      <c r="EG113" s="130">
        <v>3843</v>
      </c>
      <c r="EH113" s="130"/>
      <c r="EI113" s="130"/>
      <c r="EJ113" s="130"/>
      <c r="EK113" s="183">
        <v>-223</v>
      </c>
      <c r="EL113" s="183">
        <v>10</v>
      </c>
      <c r="EM113" s="183">
        <v>6</v>
      </c>
      <c r="EN113" s="226">
        <v>-1046</v>
      </c>
      <c r="EO113" s="226">
        <v>50</v>
      </c>
      <c r="EP113" s="226">
        <v>49</v>
      </c>
      <c r="EQ113" s="226">
        <v>-860</v>
      </c>
      <c r="ER113" s="230">
        <v>19</v>
      </c>
      <c r="ES113" s="230">
        <v>24</v>
      </c>
      <c r="ET113" s="3">
        <v>0</v>
      </c>
      <c r="EU113" s="211">
        <v>0</v>
      </c>
      <c r="EV113" s="183">
        <v>780</v>
      </c>
      <c r="EW113" s="183">
        <v>0</v>
      </c>
      <c r="EX113" s="130">
        <v>850</v>
      </c>
      <c r="EY113" s="183">
        <v>0</v>
      </c>
      <c r="EZ113" s="3">
        <v>1656</v>
      </c>
      <c r="FA113" s="3">
        <v>1342</v>
      </c>
      <c r="FB113" s="3">
        <v>314</v>
      </c>
      <c r="FC113" s="3">
        <v>0</v>
      </c>
      <c r="FD113" s="226">
        <v>2084</v>
      </c>
      <c r="FE113" s="183">
        <v>1698</v>
      </c>
      <c r="FF113" s="183">
        <v>386</v>
      </c>
      <c r="FG113" s="183">
        <v>0</v>
      </c>
      <c r="FH113" s="230">
        <v>2505</v>
      </c>
      <c r="FI113" s="130">
        <v>2056</v>
      </c>
      <c r="FJ113" s="130">
        <v>449</v>
      </c>
      <c r="FK113" s="130">
        <v>0</v>
      </c>
      <c r="FL113" s="29">
        <v>4332.6133909287264</v>
      </c>
      <c r="FM113" s="139">
        <v>4635.4056902002103</v>
      </c>
      <c r="FN113" s="139">
        <v>4951.1434511434518</v>
      </c>
      <c r="FO113" s="172">
        <f t="shared" si="3"/>
        <v>170.63013698630138</v>
      </c>
      <c r="FP113" s="170">
        <f t="shared" si="4"/>
        <v>177.37020476746503</v>
      </c>
      <c r="FR113" s="175"/>
      <c r="FS113" s="195"/>
      <c r="FV113" s="175">
        <v>174</v>
      </c>
      <c r="FW113" s="2">
        <f t="shared" si="5"/>
        <v>-174</v>
      </c>
      <c r="FZ113" s="186"/>
      <c r="GA113" s="2"/>
      <c r="GB113" s="2"/>
    </row>
    <row r="114" spans="1:184" ht="13" x14ac:dyDescent="0.3">
      <c r="A114" s="77">
        <v>305</v>
      </c>
      <c r="B114" s="75" t="s">
        <v>109</v>
      </c>
      <c r="C114" s="179">
        <v>15207</v>
      </c>
      <c r="D114" s="138"/>
      <c r="E114" s="142">
        <v>0.38341242450388263</v>
      </c>
      <c r="F114" s="142">
        <v>43.270828588539956</v>
      </c>
      <c r="G114" s="183">
        <v>-589.00506345761812</v>
      </c>
      <c r="H114" s="144"/>
      <c r="I114" s="186"/>
      <c r="K114" s="210">
        <v>60.656692925302885</v>
      </c>
      <c r="L114" s="143">
        <v>2130.3347142763205</v>
      </c>
      <c r="M114" s="146">
        <v>87.417587698222007</v>
      </c>
      <c r="N114" s="143">
        <v>8894.9168146248448</v>
      </c>
      <c r="O114" s="138">
        <v>51921</v>
      </c>
      <c r="P114" s="143">
        <v>23143</v>
      </c>
      <c r="Q114" s="184">
        <v>115834</v>
      </c>
      <c r="R114" s="184">
        <v>-92691</v>
      </c>
      <c r="S114" s="139">
        <v>51250</v>
      </c>
      <c r="T114" s="138">
        <v>44886</v>
      </c>
      <c r="U114" s="151"/>
      <c r="W114" s="183">
        <v>-454</v>
      </c>
      <c r="X114" s="183">
        <v>96</v>
      </c>
      <c r="Y114" s="184">
        <v>3087</v>
      </c>
      <c r="Z114" s="130">
        <v>5135</v>
      </c>
      <c r="AA114" s="130">
        <v>0</v>
      </c>
      <c r="AB114" s="130">
        <v>0</v>
      </c>
      <c r="AC114" s="184">
        <v>-2048</v>
      </c>
      <c r="AD114" s="184">
        <v>0</v>
      </c>
      <c r="AE114" s="183">
        <v>0</v>
      </c>
      <c r="AF114" s="183">
        <v>417</v>
      </c>
      <c r="AG114" s="183">
        <v>-1631</v>
      </c>
      <c r="AH114" s="183">
        <v>15450</v>
      </c>
      <c r="AI114" s="183">
        <v>2785</v>
      </c>
      <c r="AJ114" s="167"/>
      <c r="AK114" s="183">
        <v>-3487</v>
      </c>
      <c r="AL114" s="183">
        <v>-8804</v>
      </c>
      <c r="AM114" s="180">
        <v>-5891</v>
      </c>
      <c r="AN114" s="139">
        <v>51250</v>
      </c>
      <c r="AO114" s="138">
        <v>40189</v>
      </c>
      <c r="AP114" s="184">
        <v>3843</v>
      </c>
      <c r="AQ114" s="138">
        <v>7218</v>
      </c>
      <c r="AR114" s="109">
        <v>20</v>
      </c>
      <c r="AS114" s="144"/>
      <c r="AT114" s="139">
        <v>167</v>
      </c>
      <c r="AU114" s="228">
        <v>15134</v>
      </c>
      <c r="AV114" s="138"/>
      <c r="AW114" s="224">
        <v>0.73922012578616347</v>
      </c>
      <c r="AX114" s="225">
        <v>37.460966943038656</v>
      </c>
      <c r="AY114" s="139">
        <v>-780.89070966036741</v>
      </c>
      <c r="AZ114" s="144"/>
      <c r="BA114"/>
      <c r="BC114" s="189">
        <v>62.742301458670987</v>
      </c>
      <c r="BD114" s="183">
        <v>1659.9709263909078</v>
      </c>
      <c r="BE114" s="140">
        <v>70.043464311904174</v>
      </c>
      <c r="BF114" s="139">
        <v>8650.1916215144702</v>
      </c>
      <c r="BG114" s="184">
        <v>52372</v>
      </c>
      <c r="BH114" s="216">
        <v>22401</v>
      </c>
      <c r="BI114" s="216">
        <v>119513</v>
      </c>
      <c r="BJ114" s="216">
        <v>-96328</v>
      </c>
      <c r="BK114" s="216">
        <v>52605</v>
      </c>
      <c r="BL114" s="216">
        <v>45725</v>
      </c>
      <c r="BM114" s="151"/>
      <c r="BO114" s="216">
        <v>-371</v>
      </c>
      <c r="BP114" s="216">
        <v>1661</v>
      </c>
      <c r="BQ114" s="216">
        <v>3292</v>
      </c>
      <c r="BR114" s="216">
        <v>6023</v>
      </c>
      <c r="BS114" s="216">
        <v>0</v>
      </c>
      <c r="BT114" s="216">
        <v>0</v>
      </c>
      <c r="BU114" s="216">
        <v>-2731</v>
      </c>
      <c r="BV114" s="184">
        <v>0</v>
      </c>
      <c r="BW114" s="183">
        <v>0</v>
      </c>
      <c r="BX114" s="183">
        <v>474</v>
      </c>
      <c r="BY114" s="183">
        <v>-2257</v>
      </c>
      <c r="BZ114" s="183">
        <v>13192</v>
      </c>
      <c r="CA114" s="183">
        <v>3298</v>
      </c>
      <c r="CB114" s="167"/>
      <c r="CC114" s="183">
        <v>1658</v>
      </c>
      <c r="CD114" s="183">
        <v>-5255</v>
      </c>
      <c r="CE114" s="180">
        <v>-2859</v>
      </c>
      <c r="CF114" s="139">
        <v>52605</v>
      </c>
      <c r="CG114" s="216">
        <v>41462</v>
      </c>
      <c r="CH114" s="216">
        <v>3766</v>
      </c>
      <c r="CI114" s="216">
        <v>7377</v>
      </c>
      <c r="CJ114" s="212">
        <v>20</v>
      </c>
      <c r="CK114" s="144"/>
      <c r="CL114" s="130">
        <v>120</v>
      </c>
      <c r="CM114" s="228">
        <v>15213</v>
      </c>
      <c r="CN114" s="138"/>
      <c r="CO114" s="142">
        <v>1.5956467881790835</v>
      </c>
      <c r="CP114" s="142">
        <v>37.439547899798946</v>
      </c>
      <c r="CQ114" s="183">
        <v>-1005.9159929008085</v>
      </c>
      <c r="CR114" s="144"/>
      <c r="CS114"/>
      <c r="CU114" s="232">
        <v>61.479290871623853</v>
      </c>
      <c r="CV114" s="143">
        <v>1549.5300072306579</v>
      </c>
      <c r="CW114" s="146">
        <v>61.846930707303045</v>
      </c>
      <c r="CX114" s="143">
        <v>9144.8103595609027</v>
      </c>
      <c r="CY114" s="131">
        <v>51545</v>
      </c>
      <c r="CZ114" s="229">
        <v>24238</v>
      </c>
      <c r="DA114" s="229">
        <v>120695</v>
      </c>
      <c r="DB114" s="216">
        <v>-96457</v>
      </c>
      <c r="DC114" s="229">
        <v>53888</v>
      </c>
      <c r="DD114" s="229">
        <v>51454</v>
      </c>
      <c r="DE114" s="151"/>
      <c r="DG114" s="229">
        <v>-337</v>
      </c>
      <c r="DH114" s="229">
        <v>123</v>
      </c>
      <c r="DI114" s="229">
        <v>8671</v>
      </c>
      <c r="DJ114" s="229">
        <v>7929</v>
      </c>
      <c r="DK114" s="229">
        <v>0</v>
      </c>
      <c r="DL114" s="229">
        <v>0</v>
      </c>
      <c r="DM114" s="229">
        <v>742</v>
      </c>
      <c r="DN114" s="131">
        <v>0</v>
      </c>
      <c r="DO114" s="130">
        <v>0</v>
      </c>
      <c r="DP114" s="130">
        <v>862</v>
      </c>
      <c r="DQ114" s="130">
        <v>1604</v>
      </c>
      <c r="DR114" s="130">
        <v>14796</v>
      </c>
      <c r="DS114" s="130">
        <v>8211</v>
      </c>
      <c r="DT114" s="167"/>
      <c r="DU114" s="183">
        <v>-1068</v>
      </c>
      <c r="DV114" s="183">
        <v>-5305</v>
      </c>
      <c r="DW114" s="180">
        <v>-2520</v>
      </c>
      <c r="DX114" s="130">
        <v>53888</v>
      </c>
      <c r="DY114" s="229">
        <v>42693</v>
      </c>
      <c r="DZ114" s="229">
        <v>4396</v>
      </c>
      <c r="EA114" s="229">
        <v>6799</v>
      </c>
      <c r="EB114" s="212">
        <v>20</v>
      </c>
      <c r="EC114" s="208"/>
      <c r="ED114" s="183">
        <v>198.07352941176401</v>
      </c>
      <c r="EE114" s="3">
        <v>47350</v>
      </c>
      <c r="EF114" s="183">
        <v>46775</v>
      </c>
      <c r="EG114" s="130">
        <v>46407</v>
      </c>
      <c r="EH114" s="130"/>
      <c r="EI114" s="130"/>
      <c r="EJ114" s="130"/>
      <c r="EK114" s="183">
        <v>-9896</v>
      </c>
      <c r="EL114" s="183">
        <v>843</v>
      </c>
      <c r="EM114" s="183">
        <v>377</v>
      </c>
      <c r="EN114" s="226">
        <v>-6324</v>
      </c>
      <c r="EO114" s="226">
        <v>45</v>
      </c>
      <c r="EP114" s="226">
        <v>122</v>
      </c>
      <c r="EQ114" s="226">
        <v>-12997</v>
      </c>
      <c r="ER114" s="230">
        <v>1581</v>
      </c>
      <c r="ES114" s="230">
        <v>685</v>
      </c>
      <c r="ET114" s="3">
        <v>15375</v>
      </c>
      <c r="EU114" s="211">
        <v>0</v>
      </c>
      <c r="EV114" s="183">
        <v>0</v>
      </c>
      <c r="EW114" s="183">
        <v>0</v>
      </c>
      <c r="EX114" s="130">
        <v>7000</v>
      </c>
      <c r="EY114" s="183">
        <v>0</v>
      </c>
      <c r="EZ114" s="3">
        <v>34637</v>
      </c>
      <c r="FA114" s="3">
        <v>29382</v>
      </c>
      <c r="FB114" s="3">
        <v>5255</v>
      </c>
      <c r="FC114" s="3">
        <v>4545</v>
      </c>
      <c r="FD114" s="226">
        <v>29381</v>
      </c>
      <c r="FE114" s="183">
        <v>24426</v>
      </c>
      <c r="FF114" s="183">
        <v>4955</v>
      </c>
      <c r="FG114" s="183">
        <v>4100</v>
      </c>
      <c r="FH114" s="230">
        <v>31076</v>
      </c>
      <c r="FI114" s="130">
        <v>23096</v>
      </c>
      <c r="FJ114" s="130">
        <v>7980</v>
      </c>
      <c r="FK114" s="130">
        <v>4273</v>
      </c>
      <c r="FL114" s="29">
        <v>3952.5876241204705</v>
      </c>
      <c r="FM114" s="139">
        <v>3609.7528743227172</v>
      </c>
      <c r="FN114" s="139">
        <v>3866.2328271872739</v>
      </c>
      <c r="FO114" s="172">
        <f t="shared" si="3"/>
        <v>2134.65</v>
      </c>
      <c r="FP114" s="170">
        <f t="shared" si="4"/>
        <v>140.31749161901004</v>
      </c>
      <c r="FR114" s="175"/>
      <c r="FS114" s="195"/>
      <c r="FV114" s="175">
        <v>4686</v>
      </c>
      <c r="FW114" s="2">
        <f t="shared" si="5"/>
        <v>-4686</v>
      </c>
      <c r="FZ114" s="186"/>
      <c r="GA114" s="2"/>
      <c r="GB114" s="2"/>
    </row>
    <row r="115" spans="1:184" ht="13" x14ac:dyDescent="0.3">
      <c r="A115" s="77">
        <v>312</v>
      </c>
      <c r="B115" s="75" t="s">
        <v>111</v>
      </c>
      <c r="C115" s="179">
        <v>1343</v>
      </c>
      <c r="D115" s="138"/>
      <c r="E115" s="142">
        <v>0.47802197802197804</v>
      </c>
      <c r="F115" s="142">
        <v>119.74142217802088</v>
      </c>
      <c r="G115" s="183">
        <v>-4577.8108711839168</v>
      </c>
      <c r="H115" s="144"/>
      <c r="I115" s="186"/>
      <c r="K115" s="210">
        <v>32.114073155610662</v>
      </c>
      <c r="L115" s="143">
        <v>4208.4884586746093</v>
      </c>
      <c r="M115" s="146">
        <v>178.73678738520189</v>
      </c>
      <c r="N115" s="143">
        <v>8594.192107222636</v>
      </c>
      <c r="O115" s="138">
        <v>2569</v>
      </c>
      <c r="P115" s="143">
        <v>1549</v>
      </c>
      <c r="Q115" s="184">
        <v>10440</v>
      </c>
      <c r="R115" s="184">
        <v>-8891</v>
      </c>
      <c r="S115" s="139">
        <v>4384</v>
      </c>
      <c r="T115" s="138">
        <v>4149</v>
      </c>
      <c r="U115" s="151"/>
      <c r="W115" s="183">
        <v>4</v>
      </c>
      <c r="X115" s="183">
        <v>439</v>
      </c>
      <c r="Y115" s="184">
        <v>85</v>
      </c>
      <c r="Z115" s="130">
        <v>470</v>
      </c>
      <c r="AA115" s="130">
        <v>0</v>
      </c>
      <c r="AB115" s="130">
        <v>0</v>
      </c>
      <c r="AC115" s="184">
        <v>-385</v>
      </c>
      <c r="AD115" s="183">
        <v>0</v>
      </c>
      <c r="AE115" s="183">
        <v>0</v>
      </c>
      <c r="AF115" s="183">
        <v>0</v>
      </c>
      <c r="AG115" s="183">
        <v>-385</v>
      </c>
      <c r="AH115" s="183">
        <v>211</v>
      </c>
      <c r="AI115" s="183">
        <v>83</v>
      </c>
      <c r="AJ115" s="167"/>
      <c r="AK115" s="183">
        <v>-67</v>
      </c>
      <c r="AL115" s="183">
        <v>-180</v>
      </c>
      <c r="AM115" s="180">
        <v>-653</v>
      </c>
      <c r="AN115" s="139">
        <v>4384</v>
      </c>
      <c r="AO115" s="138">
        <v>3406</v>
      </c>
      <c r="AP115" s="184">
        <v>597</v>
      </c>
      <c r="AQ115" s="138">
        <v>381</v>
      </c>
      <c r="AR115" s="109">
        <v>21.75</v>
      </c>
      <c r="AS115" s="144"/>
      <c r="AT115" s="139">
        <v>226</v>
      </c>
      <c r="AU115" s="228">
        <v>1313</v>
      </c>
      <c r="AV115" s="138"/>
      <c r="AW115" s="224">
        <v>-1.0777866880513232</v>
      </c>
      <c r="AX115" s="225">
        <v>107.17264386989157</v>
      </c>
      <c r="AY115" s="139">
        <v>-4145.4683929931452</v>
      </c>
      <c r="AZ115" s="144"/>
      <c r="BA115"/>
      <c r="BC115" s="189">
        <v>11.067448302518843</v>
      </c>
      <c r="BD115" s="183">
        <v>4581.8735719725819</v>
      </c>
      <c r="BE115" s="140">
        <v>167.82635279730968</v>
      </c>
      <c r="BF115" s="139">
        <v>9964.9657273419652</v>
      </c>
      <c r="BG115" s="184">
        <v>2531</v>
      </c>
      <c r="BH115" s="216">
        <v>2034</v>
      </c>
      <c r="BI115" s="216">
        <v>12782</v>
      </c>
      <c r="BJ115" s="216">
        <v>-10745</v>
      </c>
      <c r="BK115" s="216">
        <v>4415</v>
      </c>
      <c r="BL115" s="216">
        <v>4342</v>
      </c>
      <c r="BM115" s="151"/>
      <c r="BO115" s="216">
        <v>2</v>
      </c>
      <c r="BP115" s="216">
        <v>471</v>
      </c>
      <c r="BQ115" s="216">
        <v>-1515</v>
      </c>
      <c r="BR115" s="216">
        <v>2662</v>
      </c>
      <c r="BS115" s="216">
        <v>196</v>
      </c>
      <c r="BT115" s="216">
        <v>0</v>
      </c>
      <c r="BU115" s="216">
        <v>-3981</v>
      </c>
      <c r="BV115" s="183">
        <v>0</v>
      </c>
      <c r="BW115" s="183">
        <v>0</v>
      </c>
      <c r="BX115" s="183">
        <v>0</v>
      </c>
      <c r="BY115" s="183">
        <v>-3981</v>
      </c>
      <c r="BZ115" s="183">
        <v>-3769</v>
      </c>
      <c r="CA115" s="183">
        <v>149</v>
      </c>
      <c r="CB115" s="167"/>
      <c r="CC115" s="183">
        <v>134</v>
      </c>
      <c r="CD115" s="183">
        <v>-140</v>
      </c>
      <c r="CE115" s="180">
        <v>662</v>
      </c>
      <c r="CF115" s="139">
        <v>4415</v>
      </c>
      <c r="CG115" s="216">
        <v>3310</v>
      </c>
      <c r="CH115" s="216">
        <v>720</v>
      </c>
      <c r="CI115" s="216">
        <v>385</v>
      </c>
      <c r="CJ115" s="212">
        <v>21.75</v>
      </c>
      <c r="CK115" s="144"/>
      <c r="CL115" s="130">
        <v>291</v>
      </c>
      <c r="CM115" s="228">
        <v>1288</v>
      </c>
      <c r="CN115" s="138"/>
      <c r="CO115" s="142">
        <v>13.147058823529411</v>
      </c>
      <c r="CP115" s="142">
        <v>120.53238686779059</v>
      </c>
      <c r="CQ115" s="183">
        <v>-4972.826086956522</v>
      </c>
      <c r="CR115" s="144"/>
      <c r="CS115"/>
      <c r="CU115" s="232">
        <v>5.8085534068066815</v>
      </c>
      <c r="CV115" s="143">
        <v>5257.7639751552797</v>
      </c>
      <c r="CW115" s="146">
        <v>237.28328693481808</v>
      </c>
      <c r="CX115" s="143">
        <v>8087.7329192546586</v>
      </c>
      <c r="CY115" s="131">
        <v>2333</v>
      </c>
      <c r="CZ115" s="229">
        <v>1516</v>
      </c>
      <c r="DA115" s="229">
        <v>10189</v>
      </c>
      <c r="DB115" s="216">
        <v>-8673</v>
      </c>
      <c r="DC115" s="229">
        <v>4656</v>
      </c>
      <c r="DD115" s="229">
        <v>5121</v>
      </c>
      <c r="DE115" s="151"/>
      <c r="DG115" s="229">
        <v>51</v>
      </c>
      <c r="DH115" s="229">
        <v>184</v>
      </c>
      <c r="DI115" s="229">
        <v>1339</v>
      </c>
      <c r="DJ115" s="229">
        <v>2219</v>
      </c>
      <c r="DK115" s="229">
        <v>0</v>
      </c>
      <c r="DL115" s="229">
        <v>0</v>
      </c>
      <c r="DM115" s="229">
        <v>-880</v>
      </c>
      <c r="DN115" s="130">
        <v>0</v>
      </c>
      <c r="DO115" s="130">
        <v>0</v>
      </c>
      <c r="DP115" s="130">
        <v>0</v>
      </c>
      <c r="DQ115" s="130">
        <v>-880</v>
      </c>
      <c r="DR115" s="130">
        <v>-4649</v>
      </c>
      <c r="DS115" s="130">
        <v>-908</v>
      </c>
      <c r="DT115" s="167"/>
      <c r="DU115" s="183">
        <v>-300</v>
      </c>
      <c r="DV115" s="183">
        <v>-100</v>
      </c>
      <c r="DW115" s="180">
        <v>-1002</v>
      </c>
      <c r="DX115" s="130">
        <v>4656</v>
      </c>
      <c r="DY115" s="229">
        <v>3324</v>
      </c>
      <c r="DZ115" s="229">
        <v>927</v>
      </c>
      <c r="EA115" s="229">
        <v>405</v>
      </c>
      <c r="EB115" s="212">
        <v>22.5</v>
      </c>
      <c r="EC115" s="208"/>
      <c r="ED115" s="183">
        <v>27.830882352941199</v>
      </c>
      <c r="EE115" s="3">
        <v>6865</v>
      </c>
      <c r="EF115" s="183">
        <v>6865</v>
      </c>
      <c r="EG115" s="130">
        <v>6808</v>
      </c>
      <c r="EH115" s="130"/>
      <c r="EI115" s="130">
        <v>200</v>
      </c>
      <c r="EJ115" s="130">
        <v>180</v>
      </c>
      <c r="EK115" s="183">
        <v>-811</v>
      </c>
      <c r="EL115" s="183">
        <v>32</v>
      </c>
      <c r="EM115" s="183">
        <v>43</v>
      </c>
      <c r="EN115" s="226">
        <v>-196</v>
      </c>
      <c r="EO115" s="226">
        <v>0</v>
      </c>
      <c r="EP115" s="226">
        <v>709</v>
      </c>
      <c r="EQ115" s="226">
        <v>-114</v>
      </c>
      <c r="ER115" s="230">
        <v>0</v>
      </c>
      <c r="ES115" s="230">
        <v>20</v>
      </c>
      <c r="ET115" s="3">
        <v>0</v>
      </c>
      <c r="EU115" s="211">
        <v>1100</v>
      </c>
      <c r="EV115" s="183">
        <v>0</v>
      </c>
      <c r="EW115" s="183">
        <v>-100</v>
      </c>
      <c r="EX115" s="130">
        <v>0</v>
      </c>
      <c r="EY115" s="183">
        <v>2200</v>
      </c>
      <c r="EZ115" s="3">
        <v>11192</v>
      </c>
      <c r="FA115" s="3">
        <v>152</v>
      </c>
      <c r="FB115" s="3">
        <v>11040</v>
      </c>
      <c r="FC115" s="3">
        <v>613</v>
      </c>
      <c r="FD115" s="226">
        <v>10952</v>
      </c>
      <c r="FE115" s="183">
        <v>52</v>
      </c>
      <c r="FF115" s="183">
        <v>10900</v>
      </c>
      <c r="FG115" s="183">
        <v>570</v>
      </c>
      <c r="FH115" s="230">
        <v>13052</v>
      </c>
      <c r="FI115" s="130">
        <v>52</v>
      </c>
      <c r="FJ115" s="130">
        <v>13000</v>
      </c>
      <c r="FK115" s="130">
        <v>527</v>
      </c>
      <c r="FL115" s="29">
        <v>12299.329858525689</v>
      </c>
      <c r="FM115" s="139">
        <v>12939.83244478294</v>
      </c>
      <c r="FN115" s="139">
        <v>15223.60248447205</v>
      </c>
      <c r="FO115" s="172">
        <f t="shared" si="3"/>
        <v>147.73333333333332</v>
      </c>
      <c r="FP115" s="170">
        <f t="shared" si="4"/>
        <v>114.69979296066252</v>
      </c>
      <c r="FR115" s="175"/>
      <c r="FS115" s="195"/>
      <c r="FV115" s="175">
        <v>780</v>
      </c>
      <c r="FW115" s="2">
        <f t="shared" si="5"/>
        <v>-780</v>
      </c>
      <c r="FZ115" s="186"/>
      <c r="GA115" s="2"/>
      <c r="GB115" s="2"/>
    </row>
    <row r="116" spans="1:184" ht="13" x14ac:dyDescent="0.3">
      <c r="A116" s="77">
        <v>316</v>
      </c>
      <c r="B116" s="75" t="s">
        <v>112</v>
      </c>
      <c r="C116" s="179">
        <v>4451</v>
      </c>
      <c r="D116" s="138"/>
      <c r="E116" s="142">
        <v>0.49311294765840219</v>
      </c>
      <c r="F116" s="142">
        <v>44.518757687576873</v>
      </c>
      <c r="G116" s="183">
        <v>-1857.7847674679849</v>
      </c>
      <c r="H116" s="144"/>
      <c r="I116" s="186"/>
      <c r="K116" s="210">
        <v>54.314510040767026</v>
      </c>
      <c r="L116" s="143">
        <v>470.23140867220849</v>
      </c>
      <c r="M116" s="146">
        <v>28.221093461396382</v>
      </c>
      <c r="N116" s="143">
        <v>6081.7793754212535</v>
      </c>
      <c r="O116" s="138">
        <v>5921</v>
      </c>
      <c r="P116" s="143">
        <v>2491</v>
      </c>
      <c r="Q116" s="184">
        <v>25724</v>
      </c>
      <c r="R116" s="184">
        <v>-23233</v>
      </c>
      <c r="S116" s="139">
        <v>15664</v>
      </c>
      <c r="T116" s="138">
        <v>7861</v>
      </c>
      <c r="U116" s="151"/>
      <c r="W116" s="183">
        <v>-70</v>
      </c>
      <c r="X116" s="183">
        <v>8</v>
      </c>
      <c r="Y116" s="184">
        <v>230</v>
      </c>
      <c r="Z116" s="130">
        <v>936</v>
      </c>
      <c r="AA116" s="130">
        <v>0</v>
      </c>
      <c r="AB116" s="130">
        <v>0</v>
      </c>
      <c r="AC116" s="184">
        <v>-706</v>
      </c>
      <c r="AD116" s="183">
        <v>0</v>
      </c>
      <c r="AE116" s="183">
        <v>0</v>
      </c>
      <c r="AF116" s="183">
        <v>0</v>
      </c>
      <c r="AG116" s="183">
        <v>-706</v>
      </c>
      <c r="AH116" s="183">
        <v>3920</v>
      </c>
      <c r="AI116" s="183">
        <v>210</v>
      </c>
      <c r="AJ116" s="167"/>
      <c r="AK116" s="183">
        <v>414</v>
      </c>
      <c r="AL116" s="183">
        <v>-598</v>
      </c>
      <c r="AM116" s="180">
        <v>-367</v>
      </c>
      <c r="AN116" s="139">
        <v>15664</v>
      </c>
      <c r="AO116" s="138">
        <v>13911</v>
      </c>
      <c r="AP116" s="184">
        <v>616</v>
      </c>
      <c r="AQ116" s="138">
        <v>1137</v>
      </c>
      <c r="AR116" s="109">
        <v>21.75</v>
      </c>
      <c r="AS116" s="144"/>
      <c r="AT116" s="139">
        <v>230</v>
      </c>
      <c r="AU116" s="228">
        <v>4368</v>
      </c>
      <c r="AV116" s="138"/>
      <c r="AW116" s="224">
        <v>0.14764834292518356</v>
      </c>
      <c r="AX116" s="225">
        <v>80.616856217519015</v>
      </c>
      <c r="AY116" s="139">
        <v>-3013.7362637362639</v>
      </c>
      <c r="AZ116" s="144"/>
      <c r="BA116"/>
      <c r="BC116" s="189">
        <v>38.901141852089673</v>
      </c>
      <c r="BD116" s="183">
        <v>1747.0238095238096</v>
      </c>
      <c r="BE116" s="140">
        <v>85.350094992952137</v>
      </c>
      <c r="BF116" s="139">
        <v>7471.1538461538457</v>
      </c>
      <c r="BG116" s="184">
        <v>6071</v>
      </c>
      <c r="BH116" s="216">
        <v>2737</v>
      </c>
      <c r="BI116" s="216">
        <v>26365</v>
      </c>
      <c r="BJ116" s="216">
        <v>-23628</v>
      </c>
      <c r="BK116" s="216">
        <v>15837</v>
      </c>
      <c r="BL116" s="216">
        <v>7980</v>
      </c>
      <c r="BM116" s="151"/>
      <c r="BO116" s="216">
        <v>-59</v>
      </c>
      <c r="BP116" s="216">
        <v>124</v>
      </c>
      <c r="BQ116" s="216">
        <v>254</v>
      </c>
      <c r="BR116" s="216">
        <v>956</v>
      </c>
      <c r="BS116" s="216">
        <v>0</v>
      </c>
      <c r="BT116" s="216">
        <v>0</v>
      </c>
      <c r="BU116" s="216">
        <v>-702</v>
      </c>
      <c r="BV116" s="183">
        <v>0</v>
      </c>
      <c r="BW116" s="183">
        <v>0</v>
      </c>
      <c r="BX116" s="183">
        <v>0</v>
      </c>
      <c r="BY116" s="183">
        <v>-702</v>
      </c>
      <c r="BZ116" s="183">
        <v>3465</v>
      </c>
      <c r="CA116" s="183">
        <v>134</v>
      </c>
      <c r="CB116" s="167"/>
      <c r="CC116" s="183">
        <v>608</v>
      </c>
      <c r="CD116" s="183">
        <v>-598</v>
      </c>
      <c r="CE116" s="180">
        <v>-5171</v>
      </c>
      <c r="CF116" s="139">
        <v>15837</v>
      </c>
      <c r="CG116" s="216">
        <v>14235</v>
      </c>
      <c r="CH116" s="216">
        <v>698</v>
      </c>
      <c r="CI116" s="216">
        <v>904</v>
      </c>
      <c r="CJ116" s="212">
        <v>22</v>
      </c>
      <c r="CK116" s="144"/>
      <c r="CL116" s="130">
        <v>210</v>
      </c>
      <c r="CM116" s="228">
        <v>4326</v>
      </c>
      <c r="CN116" s="138"/>
      <c r="CO116" s="142">
        <v>9.1979797979797979</v>
      </c>
      <c r="CP116" s="142">
        <v>63.407407407407405</v>
      </c>
      <c r="CQ116" s="183">
        <v>-2675.9130836800741</v>
      </c>
      <c r="CR116" s="144"/>
      <c r="CS116"/>
      <c r="CU116" s="232">
        <v>47.440515171359962</v>
      </c>
      <c r="CV116" s="143">
        <v>1247.8039759593157</v>
      </c>
      <c r="CW116" s="146">
        <v>66.725480899485234</v>
      </c>
      <c r="CX116" s="143">
        <v>6825.7050392972724</v>
      </c>
      <c r="CY116" s="131">
        <v>6136</v>
      </c>
      <c r="CZ116" s="229">
        <v>2619</v>
      </c>
      <c r="DA116" s="229">
        <v>25339</v>
      </c>
      <c r="DB116" s="216">
        <v>-22720</v>
      </c>
      <c r="DC116" s="229">
        <v>17244</v>
      </c>
      <c r="DD116" s="229">
        <v>9837</v>
      </c>
      <c r="DE116" s="151"/>
      <c r="DG116" s="229">
        <v>29</v>
      </c>
      <c r="DH116" s="229">
        <v>133</v>
      </c>
      <c r="DI116" s="229">
        <v>4523</v>
      </c>
      <c r="DJ116" s="229">
        <v>1071</v>
      </c>
      <c r="DK116" s="229">
        <v>0</v>
      </c>
      <c r="DL116" s="229">
        <v>0</v>
      </c>
      <c r="DM116" s="229">
        <v>3452</v>
      </c>
      <c r="DN116" s="130">
        <v>0</v>
      </c>
      <c r="DO116" s="130">
        <v>0</v>
      </c>
      <c r="DP116" s="130">
        <v>0</v>
      </c>
      <c r="DQ116" s="130">
        <v>3452</v>
      </c>
      <c r="DR116" s="130">
        <v>6917</v>
      </c>
      <c r="DS116" s="130">
        <v>4510</v>
      </c>
      <c r="DT116" s="167"/>
      <c r="DU116" s="183">
        <v>-1358</v>
      </c>
      <c r="DV116" s="183">
        <v>-465</v>
      </c>
      <c r="DW116" s="180">
        <v>1444</v>
      </c>
      <c r="DX116" s="130">
        <v>17244</v>
      </c>
      <c r="DY116" s="229">
        <v>15411</v>
      </c>
      <c r="DZ116" s="229">
        <v>837</v>
      </c>
      <c r="EA116" s="229">
        <v>996</v>
      </c>
      <c r="EB116" s="212">
        <v>22</v>
      </c>
      <c r="EC116" s="208"/>
      <c r="ED116" s="183">
        <v>25.816176470588299</v>
      </c>
      <c r="EE116" s="3">
        <v>17367</v>
      </c>
      <c r="EF116" s="183">
        <v>17960</v>
      </c>
      <c r="EG116" s="130">
        <v>16865</v>
      </c>
      <c r="EH116" s="130"/>
      <c r="EI116" s="130"/>
      <c r="EJ116" s="130"/>
      <c r="EK116" s="183">
        <v>-597</v>
      </c>
      <c r="EL116" s="183">
        <v>0</v>
      </c>
      <c r="EM116" s="183">
        <v>20</v>
      </c>
      <c r="EN116" s="226">
        <v>-5531</v>
      </c>
      <c r="EO116" s="226">
        <v>0</v>
      </c>
      <c r="EP116" s="226">
        <v>226</v>
      </c>
      <c r="EQ116" s="226">
        <v>-3682</v>
      </c>
      <c r="ER116" s="230">
        <v>600</v>
      </c>
      <c r="ES116" s="230">
        <v>16</v>
      </c>
      <c r="ET116" s="3">
        <v>0</v>
      </c>
      <c r="EU116" s="211">
        <v>0</v>
      </c>
      <c r="EV116" s="183">
        <v>0</v>
      </c>
      <c r="EW116" s="183">
        <v>10000</v>
      </c>
      <c r="EX116" s="130">
        <v>6000</v>
      </c>
      <c r="EY116" s="183">
        <v>-7000</v>
      </c>
      <c r="EZ116" s="3">
        <v>8292</v>
      </c>
      <c r="FA116" s="3">
        <v>7694</v>
      </c>
      <c r="FB116" s="3">
        <v>598</v>
      </c>
      <c r="FC116" s="3">
        <v>3638</v>
      </c>
      <c r="FD116" s="226">
        <v>17694</v>
      </c>
      <c r="FE116" s="183">
        <v>7229</v>
      </c>
      <c r="FF116" s="183">
        <v>10465</v>
      </c>
      <c r="FG116" s="183">
        <v>3536</v>
      </c>
      <c r="FH116" s="230">
        <v>16229</v>
      </c>
      <c r="FI116" s="130">
        <v>12164</v>
      </c>
      <c r="FJ116" s="130">
        <v>4065</v>
      </c>
      <c r="FK116" s="130">
        <v>3434</v>
      </c>
      <c r="FL116" s="29">
        <v>2094.1361491799598</v>
      </c>
      <c r="FM116" s="139">
        <v>4266.9413919413919</v>
      </c>
      <c r="FN116" s="139">
        <v>4074.8959778085991</v>
      </c>
      <c r="FO116" s="172">
        <f t="shared" si="3"/>
        <v>700.5</v>
      </c>
      <c r="FP116" s="170">
        <f t="shared" si="4"/>
        <v>161.92787794729543</v>
      </c>
      <c r="FR116" s="175"/>
      <c r="FS116" s="195"/>
      <c r="FV116" s="175">
        <v>524</v>
      </c>
      <c r="FW116" s="2">
        <f t="shared" si="5"/>
        <v>-524</v>
      </c>
      <c r="FZ116" s="186"/>
      <c r="GA116" s="2"/>
      <c r="GB116" s="2"/>
    </row>
    <row r="117" spans="1:184" ht="13" x14ac:dyDescent="0.3">
      <c r="A117" s="77">
        <v>317</v>
      </c>
      <c r="B117" s="75" t="s">
        <v>113</v>
      </c>
      <c r="C117" s="179">
        <v>2613</v>
      </c>
      <c r="D117" s="138"/>
      <c r="E117" s="142">
        <v>1.0924453280318092</v>
      </c>
      <c r="F117" s="142">
        <v>88.604785796989574</v>
      </c>
      <c r="G117" s="183">
        <v>-1613.0884041331803</v>
      </c>
      <c r="H117" s="144"/>
      <c r="I117" s="186"/>
      <c r="K117" s="210">
        <v>40.894465894465895</v>
      </c>
      <c r="L117" s="143">
        <v>3653.2721010332948</v>
      </c>
      <c r="M117" s="146">
        <v>157.11277449609958</v>
      </c>
      <c r="N117" s="143">
        <v>8487.1794871794864</v>
      </c>
      <c r="O117" s="138">
        <v>5795</v>
      </c>
      <c r="P117" s="143">
        <v>2215</v>
      </c>
      <c r="Q117" s="184">
        <v>19889</v>
      </c>
      <c r="R117" s="184">
        <v>-17674</v>
      </c>
      <c r="S117" s="139">
        <v>7030</v>
      </c>
      <c r="T117" s="138">
        <v>11483</v>
      </c>
      <c r="U117" s="151"/>
      <c r="W117" s="183">
        <v>-37</v>
      </c>
      <c r="X117" s="183">
        <v>242</v>
      </c>
      <c r="Y117" s="184">
        <v>1044</v>
      </c>
      <c r="Z117" s="130">
        <v>628</v>
      </c>
      <c r="AA117" s="130">
        <v>0</v>
      </c>
      <c r="AB117" s="130">
        <v>0</v>
      </c>
      <c r="AC117" s="184">
        <v>416</v>
      </c>
      <c r="AD117" s="183">
        <v>0</v>
      </c>
      <c r="AE117" s="183">
        <v>55</v>
      </c>
      <c r="AF117" s="183">
        <v>0</v>
      </c>
      <c r="AG117" s="183">
        <v>471</v>
      </c>
      <c r="AH117" s="183">
        <v>5457</v>
      </c>
      <c r="AI117" s="183">
        <v>1128</v>
      </c>
      <c r="AJ117" s="167"/>
      <c r="AK117" s="183">
        <v>-3793</v>
      </c>
      <c r="AL117" s="183">
        <v>-951</v>
      </c>
      <c r="AM117" s="180">
        <v>507</v>
      </c>
      <c r="AN117" s="139">
        <v>7030</v>
      </c>
      <c r="AO117" s="138">
        <v>5855</v>
      </c>
      <c r="AP117" s="184">
        <v>589</v>
      </c>
      <c r="AQ117" s="138">
        <v>586</v>
      </c>
      <c r="AR117" s="109">
        <v>21.5</v>
      </c>
      <c r="AS117" s="144"/>
      <c r="AT117" s="139">
        <v>73</v>
      </c>
      <c r="AU117" s="228">
        <v>2576</v>
      </c>
      <c r="AV117" s="138"/>
      <c r="AW117" s="224">
        <v>0.85965409696626027</v>
      </c>
      <c r="AX117" s="225">
        <v>70.75716736094094</v>
      </c>
      <c r="AY117" s="139">
        <v>-1512.8105590062112</v>
      </c>
      <c r="AZ117" s="144"/>
      <c r="BA117"/>
      <c r="BC117" s="189">
        <v>48.375451263537904</v>
      </c>
      <c r="BD117" s="183">
        <v>3781.4440993788821</v>
      </c>
      <c r="BE117" s="140">
        <v>161.73702406404951</v>
      </c>
      <c r="BF117" s="139">
        <v>8533.7732919254649</v>
      </c>
      <c r="BG117" s="184">
        <v>5633</v>
      </c>
      <c r="BH117" s="216">
        <v>1952</v>
      </c>
      <c r="BI117" s="216">
        <v>19532</v>
      </c>
      <c r="BJ117" s="216">
        <v>-17580</v>
      </c>
      <c r="BK117" s="216">
        <v>7511</v>
      </c>
      <c r="BL117" s="216">
        <v>10942</v>
      </c>
      <c r="BM117" s="151"/>
      <c r="BO117" s="216">
        <v>-48</v>
      </c>
      <c r="BP117" s="216">
        <v>637</v>
      </c>
      <c r="BQ117" s="216">
        <v>1462</v>
      </c>
      <c r="BR117" s="216">
        <v>638</v>
      </c>
      <c r="BS117" s="216">
        <v>0</v>
      </c>
      <c r="BT117" s="216">
        <v>0</v>
      </c>
      <c r="BU117" s="216">
        <v>824</v>
      </c>
      <c r="BV117" s="183">
        <v>0</v>
      </c>
      <c r="BW117" s="183">
        <v>55</v>
      </c>
      <c r="BX117" s="183">
        <v>0</v>
      </c>
      <c r="BY117" s="183">
        <v>879</v>
      </c>
      <c r="BZ117" s="183">
        <v>6336</v>
      </c>
      <c r="CA117" s="183">
        <v>1477</v>
      </c>
      <c r="CB117" s="167"/>
      <c r="CC117" s="183">
        <v>3805</v>
      </c>
      <c r="CD117" s="183">
        <v>-976</v>
      </c>
      <c r="CE117" s="180">
        <v>787</v>
      </c>
      <c r="CF117" s="139">
        <v>7511</v>
      </c>
      <c r="CG117" s="216">
        <v>6295</v>
      </c>
      <c r="CH117" s="216">
        <v>621</v>
      </c>
      <c r="CI117" s="216">
        <v>595</v>
      </c>
      <c r="CJ117" s="212">
        <v>21.5</v>
      </c>
      <c r="CK117" s="144"/>
      <c r="CL117" s="130">
        <v>19</v>
      </c>
      <c r="CM117" s="228">
        <v>2538</v>
      </c>
      <c r="CN117" s="138"/>
      <c r="CO117" s="142">
        <v>1.8650927487352444</v>
      </c>
      <c r="CP117" s="142">
        <v>66.399885665285126</v>
      </c>
      <c r="CQ117" s="183">
        <v>-1016.548463356974</v>
      </c>
      <c r="CR117" s="144"/>
      <c r="CS117"/>
      <c r="CU117" s="232">
        <v>51.766008233299893</v>
      </c>
      <c r="CV117" s="143">
        <v>4182.8211189913318</v>
      </c>
      <c r="CW117" s="146">
        <v>177.02224861802733</v>
      </c>
      <c r="CX117" s="143">
        <v>8624.5074862096135</v>
      </c>
      <c r="CY117" s="131">
        <v>5482</v>
      </c>
      <c r="CZ117" s="229">
        <v>1910</v>
      </c>
      <c r="DA117" s="229">
        <v>19697</v>
      </c>
      <c r="DB117" s="216">
        <v>-17787</v>
      </c>
      <c r="DC117" s="229">
        <v>7023</v>
      </c>
      <c r="DD117" s="229">
        <v>12058</v>
      </c>
      <c r="DE117" s="151"/>
      <c r="DG117" s="229">
        <v>-54</v>
      </c>
      <c r="DH117" s="229">
        <v>907</v>
      </c>
      <c r="DI117" s="229">
        <v>2147</v>
      </c>
      <c r="DJ117" s="229">
        <v>719</v>
      </c>
      <c r="DK117" s="229">
        <v>0</v>
      </c>
      <c r="DL117" s="229">
        <v>0</v>
      </c>
      <c r="DM117" s="229">
        <v>1428</v>
      </c>
      <c r="DN117" s="130">
        <v>0</v>
      </c>
      <c r="DO117" s="130">
        <v>55</v>
      </c>
      <c r="DP117" s="130">
        <v>0</v>
      </c>
      <c r="DQ117" s="130">
        <v>1483</v>
      </c>
      <c r="DR117" s="130">
        <v>7821</v>
      </c>
      <c r="DS117" s="130">
        <v>2119</v>
      </c>
      <c r="DT117" s="167"/>
      <c r="DU117" s="183">
        <v>59</v>
      </c>
      <c r="DV117" s="183">
        <v>-1121</v>
      </c>
      <c r="DW117" s="180">
        <v>1360</v>
      </c>
      <c r="DX117" s="130">
        <v>7023</v>
      </c>
      <c r="DY117" s="229">
        <v>5788</v>
      </c>
      <c r="DZ117" s="229">
        <v>702</v>
      </c>
      <c r="EA117" s="229">
        <v>533</v>
      </c>
      <c r="EB117" s="212">
        <v>21.5</v>
      </c>
      <c r="EC117" s="208"/>
      <c r="ED117" s="183">
        <v>71.147058823529505</v>
      </c>
      <c r="EE117" s="3">
        <v>12210</v>
      </c>
      <c r="EF117" s="183">
        <v>12145</v>
      </c>
      <c r="EG117" s="130">
        <v>12478</v>
      </c>
      <c r="EH117" s="130"/>
      <c r="EI117" s="130"/>
      <c r="EJ117" s="130"/>
      <c r="EK117" s="183">
        <v>-825</v>
      </c>
      <c r="EL117" s="183">
        <v>172</v>
      </c>
      <c r="EM117" s="183">
        <v>32</v>
      </c>
      <c r="EN117" s="226">
        <v>-891</v>
      </c>
      <c r="EO117" s="226">
        <v>163</v>
      </c>
      <c r="EP117" s="226">
        <v>38</v>
      </c>
      <c r="EQ117" s="226">
        <v>-802</v>
      </c>
      <c r="ER117" s="230">
        <v>0</v>
      </c>
      <c r="ES117" s="230">
        <v>43</v>
      </c>
      <c r="ET117" s="3">
        <v>0</v>
      </c>
      <c r="EU117" s="211">
        <v>531</v>
      </c>
      <c r="EV117" s="183">
        <v>0</v>
      </c>
      <c r="EW117" s="183">
        <v>932</v>
      </c>
      <c r="EX117" s="130">
        <v>3950</v>
      </c>
      <c r="EY117" s="183">
        <v>-3500</v>
      </c>
      <c r="EZ117" s="3">
        <v>12490</v>
      </c>
      <c r="FA117" s="3">
        <v>7713</v>
      </c>
      <c r="FB117" s="3">
        <v>4777</v>
      </c>
      <c r="FC117" s="3">
        <v>1420</v>
      </c>
      <c r="FD117" s="226">
        <v>12445</v>
      </c>
      <c r="FE117" s="183">
        <v>6824</v>
      </c>
      <c r="FF117" s="183">
        <v>5621</v>
      </c>
      <c r="FG117" s="183">
        <v>1890</v>
      </c>
      <c r="FH117" s="230">
        <v>11774</v>
      </c>
      <c r="FI117" s="130">
        <v>10035</v>
      </c>
      <c r="FJ117" s="130">
        <v>1739</v>
      </c>
      <c r="FK117" s="130">
        <v>1435</v>
      </c>
      <c r="FL117" s="29">
        <v>7485.6486796785302</v>
      </c>
      <c r="FM117" s="139">
        <v>8148.2919254658373</v>
      </c>
      <c r="FN117" s="139">
        <v>8774.6256895193055</v>
      </c>
      <c r="FO117" s="172">
        <f t="shared" si="3"/>
        <v>269.2093023255814</v>
      </c>
      <c r="FP117" s="170">
        <f t="shared" si="4"/>
        <v>106.07143511646233</v>
      </c>
      <c r="FR117" s="175"/>
      <c r="FS117" s="195"/>
      <c r="FV117" s="175">
        <v>1691</v>
      </c>
      <c r="FW117" s="2">
        <f t="shared" si="5"/>
        <v>-1691</v>
      </c>
      <c r="FZ117" s="186"/>
      <c r="GA117" s="2"/>
      <c r="GB117" s="2"/>
    </row>
    <row r="118" spans="1:184" ht="13" x14ac:dyDescent="0.3">
      <c r="A118" s="77">
        <v>398</v>
      </c>
      <c r="B118" s="75" t="s">
        <v>115</v>
      </c>
      <c r="C118" s="179">
        <v>119951</v>
      </c>
      <c r="D118" s="138"/>
      <c r="E118" s="142">
        <v>0.78650872350119261</v>
      </c>
      <c r="F118" s="142">
        <v>117.26526152780434</v>
      </c>
      <c r="G118" s="183">
        <v>-6017.9073121524625</v>
      </c>
      <c r="H118" s="144"/>
      <c r="I118" s="186"/>
      <c r="K118" s="210">
        <v>40.442634579936481</v>
      </c>
      <c r="L118" s="143">
        <v>733.93302265091575</v>
      </c>
      <c r="M118" s="146">
        <v>34.03364691079247</v>
      </c>
      <c r="N118" s="143">
        <v>7871.1974056072895</v>
      </c>
      <c r="O118" s="138">
        <v>159265</v>
      </c>
      <c r="P118" s="143">
        <v>92614</v>
      </c>
      <c r="Q118" s="184">
        <v>714825</v>
      </c>
      <c r="R118" s="184">
        <v>-622211</v>
      </c>
      <c r="S118" s="139">
        <v>465139</v>
      </c>
      <c r="T118" s="138">
        <v>191367</v>
      </c>
      <c r="U118" s="151"/>
      <c r="W118" s="183">
        <v>-3891</v>
      </c>
      <c r="X118" s="183">
        <v>15264</v>
      </c>
      <c r="Y118" s="184">
        <v>45668</v>
      </c>
      <c r="Z118" s="130">
        <v>45146</v>
      </c>
      <c r="AA118" s="130">
        <v>0</v>
      </c>
      <c r="AB118" s="130">
        <v>0</v>
      </c>
      <c r="AC118" s="184">
        <v>522</v>
      </c>
      <c r="AD118" s="183">
        <v>227</v>
      </c>
      <c r="AE118" s="183">
        <v>0</v>
      </c>
      <c r="AF118" s="183">
        <v>-115</v>
      </c>
      <c r="AG118" s="183">
        <v>634</v>
      </c>
      <c r="AH118" s="183">
        <v>152662</v>
      </c>
      <c r="AI118" s="183">
        <v>40630</v>
      </c>
      <c r="AJ118" s="167"/>
      <c r="AK118" s="183">
        <v>-7400</v>
      </c>
      <c r="AL118" s="183">
        <v>-61600</v>
      </c>
      <c r="AM118" s="180">
        <v>-60822</v>
      </c>
      <c r="AN118" s="139">
        <v>465139</v>
      </c>
      <c r="AO118" s="138">
        <v>396744</v>
      </c>
      <c r="AP118" s="184">
        <v>27427</v>
      </c>
      <c r="AQ118" s="138">
        <v>40968</v>
      </c>
      <c r="AR118" s="109">
        <v>20.75</v>
      </c>
      <c r="AS118" s="144"/>
      <c r="AT118" s="139">
        <v>77</v>
      </c>
      <c r="AU118" s="228">
        <v>119823</v>
      </c>
      <c r="AV118" s="138"/>
      <c r="AW118" s="224">
        <v>0.31889049323838897</v>
      </c>
      <c r="AX118" s="225">
        <v>121.50374618529092</v>
      </c>
      <c r="AY118" s="139">
        <v>-6701.6015289218267</v>
      </c>
      <c r="AZ118" s="144"/>
      <c r="BA118"/>
      <c r="BC118" s="189">
        <v>38.120840271685744</v>
      </c>
      <c r="BD118" s="183">
        <v>336.33776486984965</v>
      </c>
      <c r="BE118" s="140">
        <v>15.238756522630952</v>
      </c>
      <c r="BF118" s="139">
        <v>8055.9909199402455</v>
      </c>
      <c r="BG118" s="184">
        <v>161824</v>
      </c>
      <c r="BH118" s="216">
        <v>93283</v>
      </c>
      <c r="BI118" s="216">
        <v>745758</v>
      </c>
      <c r="BJ118" s="216">
        <v>-651477</v>
      </c>
      <c r="BK118" s="216">
        <v>475356</v>
      </c>
      <c r="BL118" s="216">
        <v>193870</v>
      </c>
      <c r="BM118" s="151"/>
      <c r="BO118" s="216">
        <v>-4639</v>
      </c>
      <c r="BP118" s="216">
        <v>13333</v>
      </c>
      <c r="BQ118" s="216">
        <v>26443</v>
      </c>
      <c r="BR118" s="216">
        <v>47927</v>
      </c>
      <c r="BS118" s="216">
        <v>941</v>
      </c>
      <c r="BT118" s="216">
        <v>0</v>
      </c>
      <c r="BU118" s="216">
        <v>-20543</v>
      </c>
      <c r="BV118" s="183">
        <v>227</v>
      </c>
      <c r="BW118" s="183">
        <v>0</v>
      </c>
      <c r="BX118" s="183">
        <v>0</v>
      </c>
      <c r="BY118" s="183">
        <v>-20316</v>
      </c>
      <c r="BZ118" s="183">
        <v>131404</v>
      </c>
      <c r="CA118" s="183">
        <v>25956</v>
      </c>
      <c r="CB118" s="167"/>
      <c r="CC118" s="183">
        <v>-16174</v>
      </c>
      <c r="CD118" s="183">
        <v>-44601</v>
      </c>
      <c r="CE118" s="180">
        <v>-66186</v>
      </c>
      <c r="CF118" s="139">
        <v>475356</v>
      </c>
      <c r="CG118" s="216">
        <v>403837</v>
      </c>
      <c r="CH118" s="216">
        <v>29403</v>
      </c>
      <c r="CI118" s="216">
        <v>42116</v>
      </c>
      <c r="CJ118" s="212">
        <v>20.75</v>
      </c>
      <c r="CK118" s="144"/>
      <c r="CL118" s="130">
        <v>119</v>
      </c>
      <c r="CM118" s="228">
        <v>119984</v>
      </c>
      <c r="CN118" s="138"/>
      <c r="CO118" s="142">
        <v>2.0047808460185115</v>
      </c>
      <c r="CP118" s="142">
        <v>112.12077318396697</v>
      </c>
      <c r="CQ118" s="183">
        <v>-6248.0580744099216</v>
      </c>
      <c r="CR118" s="144"/>
      <c r="CS118"/>
      <c r="CU118" s="232">
        <v>39.42273178754494</v>
      </c>
      <c r="CV118" s="143">
        <v>606.789238565142</v>
      </c>
      <c r="CW118" s="146">
        <v>29.338348213842131</v>
      </c>
      <c r="CX118" s="143">
        <v>7549.0982130950797</v>
      </c>
      <c r="CY118" s="131">
        <v>163827</v>
      </c>
      <c r="CZ118" s="229">
        <v>88073</v>
      </c>
      <c r="DA118" s="229">
        <v>756311</v>
      </c>
      <c r="DB118" s="216">
        <v>-668238</v>
      </c>
      <c r="DC118" s="229">
        <v>504619</v>
      </c>
      <c r="DD118" s="229">
        <v>243834</v>
      </c>
      <c r="DE118" s="151"/>
      <c r="DG118" s="229">
        <v>-3482</v>
      </c>
      <c r="DH118" s="229">
        <v>16154</v>
      </c>
      <c r="DI118" s="229">
        <v>92887</v>
      </c>
      <c r="DJ118" s="229">
        <v>50704</v>
      </c>
      <c r="DK118" s="229">
        <v>0</v>
      </c>
      <c r="DL118" s="229">
        <v>0</v>
      </c>
      <c r="DM118" s="229">
        <v>42183</v>
      </c>
      <c r="DN118" s="130">
        <v>273</v>
      </c>
      <c r="DO118" s="130">
        <v>0</v>
      </c>
      <c r="DP118" s="130">
        <v>-136</v>
      </c>
      <c r="DQ118" s="130">
        <v>42320</v>
      </c>
      <c r="DR118" s="130">
        <v>173724</v>
      </c>
      <c r="DS118" s="130">
        <v>93281</v>
      </c>
      <c r="DT118" s="167"/>
      <c r="DU118" s="183">
        <v>-30959</v>
      </c>
      <c r="DV118" s="183">
        <v>-40345</v>
      </c>
      <c r="DW118" s="180">
        <v>9338</v>
      </c>
      <c r="DX118" s="130">
        <v>504619</v>
      </c>
      <c r="DY118" s="229">
        <v>434333</v>
      </c>
      <c r="DZ118" s="229">
        <v>32227</v>
      </c>
      <c r="EA118" s="229">
        <v>38059</v>
      </c>
      <c r="EB118" s="212">
        <v>20.75</v>
      </c>
      <c r="EC118" s="208"/>
      <c r="ED118" s="183">
        <v>97.338235294117695</v>
      </c>
      <c r="EE118" s="3">
        <v>479686</v>
      </c>
      <c r="EF118" s="183">
        <v>504871</v>
      </c>
      <c r="EG118" s="130">
        <v>504647</v>
      </c>
      <c r="EH118" s="130"/>
      <c r="EI118" s="130"/>
      <c r="EJ118" s="130"/>
      <c r="EK118" s="183">
        <v>-117711</v>
      </c>
      <c r="EL118" s="183">
        <v>653</v>
      </c>
      <c r="EM118" s="183">
        <v>15606</v>
      </c>
      <c r="EN118" s="226">
        <v>-102365</v>
      </c>
      <c r="EO118" s="226">
        <v>628</v>
      </c>
      <c r="EP118" s="226">
        <v>9595</v>
      </c>
      <c r="EQ118" s="226">
        <v>-94469</v>
      </c>
      <c r="ER118" s="230">
        <v>1304</v>
      </c>
      <c r="ES118" s="230">
        <v>9222</v>
      </c>
      <c r="ET118" s="3">
        <v>110000</v>
      </c>
      <c r="EU118" s="211">
        <v>-6255</v>
      </c>
      <c r="EV118" s="183">
        <v>90000</v>
      </c>
      <c r="EW118" s="183">
        <v>-771</v>
      </c>
      <c r="EX118" s="130">
        <v>60000</v>
      </c>
      <c r="EY118" s="183">
        <v>12264</v>
      </c>
      <c r="EZ118" s="3">
        <v>797162</v>
      </c>
      <c r="FA118" s="3">
        <v>715116</v>
      </c>
      <c r="FB118" s="3">
        <v>82046</v>
      </c>
      <c r="FC118" s="3">
        <v>463551</v>
      </c>
      <c r="FD118" s="226">
        <v>841790</v>
      </c>
      <c r="FE118" s="183">
        <v>764770</v>
      </c>
      <c r="FF118" s="183">
        <v>77020</v>
      </c>
      <c r="FG118" s="183">
        <v>478109</v>
      </c>
      <c r="FH118" s="230">
        <v>873709</v>
      </c>
      <c r="FI118" s="130">
        <v>792120</v>
      </c>
      <c r="FJ118" s="130">
        <v>81589</v>
      </c>
      <c r="FK118" s="130">
        <v>433734</v>
      </c>
      <c r="FL118" s="29">
        <v>9682.3202807813195</v>
      </c>
      <c r="FM118" s="139">
        <v>9955.9433497742502</v>
      </c>
      <c r="FN118" s="139">
        <v>10364.065208694494</v>
      </c>
      <c r="FO118" s="172">
        <f t="shared" si="3"/>
        <v>20931.710843373494</v>
      </c>
      <c r="FP118" s="170">
        <f t="shared" si="4"/>
        <v>174.45418425267948</v>
      </c>
      <c r="FR118" s="175"/>
      <c r="FS118" s="195"/>
      <c r="FV118" s="175">
        <v>19835</v>
      </c>
      <c r="FW118" s="2">
        <f t="shared" si="5"/>
        <v>-19835</v>
      </c>
      <c r="FZ118" s="186"/>
      <c r="GA118" s="2"/>
      <c r="GB118" s="2"/>
    </row>
    <row r="119" spans="1:184" ht="13" x14ac:dyDescent="0.3">
      <c r="A119" s="77">
        <v>399</v>
      </c>
      <c r="B119" s="75" t="s">
        <v>116</v>
      </c>
      <c r="C119" s="179">
        <v>8058</v>
      </c>
      <c r="D119" s="138"/>
      <c r="E119" s="142">
        <v>0.22536850271528316</v>
      </c>
      <c r="F119" s="142">
        <v>73.238053239255933</v>
      </c>
      <c r="G119" s="183">
        <v>-4033.3829734425412</v>
      </c>
      <c r="H119" s="144"/>
      <c r="I119" s="186"/>
      <c r="K119" s="210">
        <v>29.224753485209114</v>
      </c>
      <c r="L119" s="143">
        <v>55.84512285927029</v>
      </c>
      <c r="M119" s="146">
        <v>2.8876074611909077</v>
      </c>
      <c r="N119" s="143">
        <v>7058.9476296847852</v>
      </c>
      <c r="O119" s="138">
        <v>18738</v>
      </c>
      <c r="P119" s="143">
        <v>5648</v>
      </c>
      <c r="Q119" s="184">
        <v>49486</v>
      </c>
      <c r="R119" s="184">
        <v>-43838</v>
      </c>
      <c r="S119" s="139">
        <v>29190</v>
      </c>
      <c r="T119" s="138">
        <v>15050</v>
      </c>
      <c r="U119" s="151"/>
      <c r="W119" s="183">
        <v>-158</v>
      </c>
      <c r="X119" s="183">
        <v>177</v>
      </c>
      <c r="Y119" s="184">
        <v>421</v>
      </c>
      <c r="Z119" s="130">
        <v>1953</v>
      </c>
      <c r="AA119" s="130">
        <v>0</v>
      </c>
      <c r="AB119" s="130">
        <v>0</v>
      </c>
      <c r="AC119" s="184">
        <v>-1532</v>
      </c>
      <c r="AD119" s="184">
        <v>105</v>
      </c>
      <c r="AE119" s="183">
        <v>0</v>
      </c>
      <c r="AF119" s="184">
        <v>0</v>
      </c>
      <c r="AG119" s="183">
        <v>-1427</v>
      </c>
      <c r="AH119" s="183">
        <v>-2593</v>
      </c>
      <c r="AI119" s="183">
        <v>271</v>
      </c>
      <c r="AJ119" s="167"/>
      <c r="AK119" s="183">
        <v>-1682</v>
      </c>
      <c r="AL119" s="183">
        <v>-2418</v>
      </c>
      <c r="AM119" s="180">
        <v>-1931</v>
      </c>
      <c r="AN119" s="139">
        <v>29190</v>
      </c>
      <c r="AO119" s="138">
        <v>26941</v>
      </c>
      <c r="AP119" s="184">
        <v>1015</v>
      </c>
      <c r="AQ119" s="138">
        <v>1234</v>
      </c>
      <c r="AR119" s="109">
        <v>21.75</v>
      </c>
      <c r="AS119" s="144"/>
      <c r="AT119" s="139">
        <v>229</v>
      </c>
      <c r="AU119" s="228">
        <v>8017</v>
      </c>
      <c r="AV119" s="138"/>
      <c r="AW119" s="224">
        <v>0.27667750517292344</v>
      </c>
      <c r="AX119" s="225">
        <v>74.160444114312526</v>
      </c>
      <c r="AY119" s="139">
        <v>-4232.381189971311</v>
      </c>
      <c r="AZ119" s="144"/>
      <c r="BA119"/>
      <c r="BC119" s="189">
        <v>28.500781321812667</v>
      </c>
      <c r="BD119" s="183">
        <v>260.44655107895721</v>
      </c>
      <c r="BE119" s="140">
        <v>13.206716689483079</v>
      </c>
      <c r="BF119" s="139">
        <v>7198.0790819508547</v>
      </c>
      <c r="BG119" s="184">
        <v>16249</v>
      </c>
      <c r="BH119" s="216">
        <v>4842</v>
      </c>
      <c r="BI119" s="216">
        <v>49962</v>
      </c>
      <c r="BJ119" s="216">
        <v>-45120</v>
      </c>
      <c r="BK119" s="216">
        <v>30725</v>
      </c>
      <c r="BL119" s="216">
        <v>15591</v>
      </c>
      <c r="BM119" s="151"/>
      <c r="BO119" s="216">
        <v>-149</v>
      </c>
      <c r="BP119" s="216">
        <v>86</v>
      </c>
      <c r="BQ119" s="216">
        <v>1133</v>
      </c>
      <c r="BR119" s="216">
        <v>2045</v>
      </c>
      <c r="BS119" s="216">
        <v>945</v>
      </c>
      <c r="BT119" s="216">
        <v>0</v>
      </c>
      <c r="BU119" s="216">
        <v>33</v>
      </c>
      <c r="BV119" s="184">
        <v>34</v>
      </c>
      <c r="BW119" s="183">
        <v>0</v>
      </c>
      <c r="BX119" s="184">
        <v>0</v>
      </c>
      <c r="BY119" s="183">
        <v>67</v>
      </c>
      <c r="BZ119" s="183">
        <v>-2527</v>
      </c>
      <c r="CA119" s="183">
        <v>1011</v>
      </c>
      <c r="CB119" s="167"/>
      <c r="CC119" s="183">
        <v>1666</v>
      </c>
      <c r="CD119" s="183">
        <v>-2710</v>
      </c>
      <c r="CE119" s="180">
        <v>-587</v>
      </c>
      <c r="CF119" s="139">
        <v>30725</v>
      </c>
      <c r="CG119" s="216">
        <v>28304</v>
      </c>
      <c r="CH119" s="216">
        <v>998</v>
      </c>
      <c r="CI119" s="216">
        <v>1423</v>
      </c>
      <c r="CJ119" s="212">
        <v>21.75</v>
      </c>
      <c r="CK119" s="144"/>
      <c r="CL119" s="130">
        <v>158</v>
      </c>
      <c r="CM119" s="228">
        <v>7996</v>
      </c>
      <c r="CN119" s="138"/>
      <c r="CO119" s="142">
        <v>1.46779303062302</v>
      </c>
      <c r="CP119" s="142">
        <v>63.267070008643046</v>
      </c>
      <c r="CQ119" s="183">
        <v>-3960.6053026513255</v>
      </c>
      <c r="CR119" s="144"/>
      <c r="CS119"/>
      <c r="CU119" s="232">
        <v>32.622457935722423</v>
      </c>
      <c r="CV119" s="143">
        <v>161.45572786393197</v>
      </c>
      <c r="CW119" s="146">
        <v>8.4339818510497402</v>
      </c>
      <c r="CX119" s="143">
        <v>6987.368684342171</v>
      </c>
      <c r="CY119" s="131">
        <v>16275</v>
      </c>
      <c r="CZ119" s="229">
        <v>4973</v>
      </c>
      <c r="DA119" s="229">
        <v>51413</v>
      </c>
      <c r="DB119" s="216">
        <v>-46440</v>
      </c>
      <c r="DC119" s="229">
        <v>31291</v>
      </c>
      <c r="DD119" s="229">
        <v>19272</v>
      </c>
      <c r="DE119" s="151"/>
      <c r="DG119" s="229">
        <v>-122</v>
      </c>
      <c r="DH119" s="229">
        <v>38</v>
      </c>
      <c r="DI119" s="229">
        <v>4039</v>
      </c>
      <c r="DJ119" s="229">
        <v>2073</v>
      </c>
      <c r="DK119" s="229">
        <v>0</v>
      </c>
      <c r="DL119" s="229">
        <v>0</v>
      </c>
      <c r="DM119" s="229">
        <v>1966</v>
      </c>
      <c r="DN119" s="131">
        <v>0</v>
      </c>
      <c r="DO119" s="130">
        <v>0</v>
      </c>
      <c r="DP119" s="131">
        <v>0</v>
      </c>
      <c r="DQ119" s="130">
        <v>1966</v>
      </c>
      <c r="DR119" s="130">
        <v>-561</v>
      </c>
      <c r="DS119" s="130">
        <v>3980</v>
      </c>
      <c r="DT119" s="167"/>
      <c r="DU119" s="183">
        <v>-255</v>
      </c>
      <c r="DV119" s="183">
        <v>-2710</v>
      </c>
      <c r="DW119" s="180">
        <v>2463</v>
      </c>
      <c r="DX119" s="130">
        <v>31291</v>
      </c>
      <c r="DY119" s="229">
        <v>28891</v>
      </c>
      <c r="DZ119" s="229">
        <v>1046</v>
      </c>
      <c r="EA119" s="229">
        <v>1354</v>
      </c>
      <c r="EB119" s="212">
        <v>21.75</v>
      </c>
      <c r="EC119" s="208"/>
      <c r="ED119" s="183">
        <v>225.27205882352899</v>
      </c>
      <c r="EE119" s="3">
        <v>24709</v>
      </c>
      <c r="EF119" s="183">
        <v>24903</v>
      </c>
      <c r="EG119" s="130">
        <v>25535</v>
      </c>
      <c r="EH119" s="130"/>
      <c r="EI119" s="130"/>
      <c r="EJ119" s="130">
        <v>800</v>
      </c>
      <c r="EK119" s="183">
        <v>-4806</v>
      </c>
      <c r="EL119" s="183">
        <v>233</v>
      </c>
      <c r="EM119" s="183">
        <v>2371</v>
      </c>
      <c r="EN119" s="226">
        <v>-3515</v>
      </c>
      <c r="EO119" s="226">
        <v>60</v>
      </c>
      <c r="EP119" s="226">
        <v>1857</v>
      </c>
      <c r="EQ119" s="226">
        <v>-1604</v>
      </c>
      <c r="ER119" s="230">
        <v>8</v>
      </c>
      <c r="ES119" s="230">
        <v>79</v>
      </c>
      <c r="ET119" s="3">
        <v>5000</v>
      </c>
      <c r="EU119" s="211">
        <v>1500</v>
      </c>
      <c r="EV119" s="183">
        <v>4000</v>
      </c>
      <c r="EW119" s="183">
        <v>0</v>
      </c>
      <c r="EX119" s="130">
        <v>0</v>
      </c>
      <c r="EY119" s="183">
        <v>0</v>
      </c>
      <c r="EZ119" s="3">
        <v>31285</v>
      </c>
      <c r="FA119" s="3">
        <v>19908</v>
      </c>
      <c r="FB119" s="3">
        <v>11377</v>
      </c>
      <c r="FC119" s="3">
        <v>812</v>
      </c>
      <c r="FD119" s="226">
        <v>32575</v>
      </c>
      <c r="FE119" s="183">
        <v>20865</v>
      </c>
      <c r="FF119" s="183">
        <v>11710</v>
      </c>
      <c r="FG119" s="183">
        <v>2112</v>
      </c>
      <c r="FH119" s="230">
        <v>29865</v>
      </c>
      <c r="FI119" s="130">
        <v>18155</v>
      </c>
      <c r="FJ119" s="130">
        <v>11710</v>
      </c>
      <c r="FK119" s="130">
        <v>2067</v>
      </c>
      <c r="FL119" s="29">
        <v>5073.3432613551749</v>
      </c>
      <c r="FM119" s="139">
        <v>5383.9341399526002</v>
      </c>
      <c r="FN119" s="139">
        <v>5174.9624812406209</v>
      </c>
      <c r="FO119" s="172">
        <f t="shared" si="3"/>
        <v>1328.3218390804598</v>
      </c>
      <c r="FP119" s="170">
        <f t="shared" si="4"/>
        <v>166.12329153082288</v>
      </c>
      <c r="FR119" s="175"/>
      <c r="FS119" s="195"/>
      <c r="FV119" s="175">
        <v>926</v>
      </c>
      <c r="FW119" s="2">
        <f t="shared" si="5"/>
        <v>-926</v>
      </c>
      <c r="FZ119" s="186"/>
      <c r="GA119" s="2"/>
      <c r="GB119" s="2"/>
    </row>
    <row r="120" spans="1:184" ht="13" x14ac:dyDescent="0.3">
      <c r="A120" s="77">
        <v>400</v>
      </c>
      <c r="B120" s="75" t="s">
        <v>117</v>
      </c>
      <c r="C120" s="179">
        <v>8647</v>
      </c>
      <c r="D120" s="138"/>
      <c r="E120" s="142">
        <v>10.772151898734178</v>
      </c>
      <c r="F120" s="142">
        <v>54.97416898919176</v>
      </c>
      <c r="G120" s="183">
        <v>-2981.4964727651209</v>
      </c>
      <c r="H120" s="144"/>
      <c r="I120" s="186"/>
      <c r="K120" s="210">
        <v>52.591902543891081</v>
      </c>
      <c r="L120" s="143">
        <v>269.22632126749164</v>
      </c>
      <c r="M120" s="146">
        <v>12.733702982166943</v>
      </c>
      <c r="N120" s="143">
        <v>7717.1273273967845</v>
      </c>
      <c r="O120" s="138">
        <v>27410</v>
      </c>
      <c r="P120" s="143">
        <v>9486</v>
      </c>
      <c r="Q120" s="184">
        <v>57253</v>
      </c>
      <c r="R120" s="184">
        <v>-47767</v>
      </c>
      <c r="S120" s="139">
        <v>29006</v>
      </c>
      <c r="T120" s="138">
        <v>20352</v>
      </c>
      <c r="U120" s="151"/>
      <c r="W120" s="183">
        <v>-28</v>
      </c>
      <c r="X120" s="183">
        <v>111</v>
      </c>
      <c r="Y120" s="184">
        <v>1674</v>
      </c>
      <c r="Z120" s="130">
        <v>2698</v>
      </c>
      <c r="AA120" s="130">
        <v>0</v>
      </c>
      <c r="AB120" s="130">
        <v>0</v>
      </c>
      <c r="AC120" s="184">
        <v>-1024</v>
      </c>
      <c r="AD120" s="184">
        <v>121</v>
      </c>
      <c r="AE120" s="183">
        <v>0</v>
      </c>
      <c r="AF120" s="184">
        <v>0</v>
      </c>
      <c r="AG120" s="183">
        <v>-903</v>
      </c>
      <c r="AH120" s="183">
        <v>4921</v>
      </c>
      <c r="AI120" s="183">
        <v>1674</v>
      </c>
      <c r="AJ120" s="167"/>
      <c r="AK120" s="183">
        <v>715</v>
      </c>
      <c r="AL120" s="183">
        <v>-130</v>
      </c>
      <c r="AM120" s="180">
        <v>-7419</v>
      </c>
      <c r="AN120" s="139">
        <v>29006</v>
      </c>
      <c r="AO120" s="138">
        <v>24995</v>
      </c>
      <c r="AP120" s="184">
        <v>1948</v>
      </c>
      <c r="AQ120" s="138">
        <v>2063</v>
      </c>
      <c r="AR120" s="109">
        <v>20.5</v>
      </c>
      <c r="AS120" s="144"/>
      <c r="AT120" s="139">
        <v>175</v>
      </c>
      <c r="AU120" s="228">
        <v>8588</v>
      </c>
      <c r="AV120" s="138"/>
      <c r="AW120" s="224">
        <v>3.3330026783057236E-2</v>
      </c>
      <c r="AX120" s="225">
        <v>61.482648256447206</v>
      </c>
      <c r="AY120" s="139">
        <v>-3669.8882161155102</v>
      </c>
      <c r="AZ120" s="144"/>
      <c r="BA120"/>
      <c r="BC120" s="189">
        <v>47.453419613968535</v>
      </c>
      <c r="BD120" s="183">
        <v>162.55239869585469</v>
      </c>
      <c r="BE120" s="140">
        <v>7.6190618598322297</v>
      </c>
      <c r="BF120" s="139">
        <v>7787.2612948299957</v>
      </c>
      <c r="BG120" s="184">
        <v>27899</v>
      </c>
      <c r="BH120" s="216">
        <v>9119</v>
      </c>
      <c r="BI120" s="216">
        <v>59563</v>
      </c>
      <c r="BJ120" s="216">
        <v>-50444</v>
      </c>
      <c r="BK120" s="216">
        <v>30346</v>
      </c>
      <c r="BL120" s="216">
        <v>20212</v>
      </c>
      <c r="BM120" s="151"/>
      <c r="BO120" s="216">
        <v>-10</v>
      </c>
      <c r="BP120" s="216">
        <v>12</v>
      </c>
      <c r="BQ120" s="216">
        <v>116</v>
      </c>
      <c r="BR120" s="216">
        <v>2786</v>
      </c>
      <c r="BS120" s="216">
        <v>0</v>
      </c>
      <c r="BT120" s="216">
        <v>0</v>
      </c>
      <c r="BU120" s="216">
        <v>-2670</v>
      </c>
      <c r="BV120" s="184">
        <v>121</v>
      </c>
      <c r="BW120" s="183">
        <v>0</v>
      </c>
      <c r="BX120" s="184">
        <v>0</v>
      </c>
      <c r="BY120" s="183">
        <v>-2549</v>
      </c>
      <c r="BZ120" s="183">
        <v>2372</v>
      </c>
      <c r="CA120" s="183">
        <v>116</v>
      </c>
      <c r="CB120" s="167"/>
      <c r="CC120" s="183">
        <v>462</v>
      </c>
      <c r="CD120" s="183">
        <v>-1130</v>
      </c>
      <c r="CE120" s="180">
        <v>-5933</v>
      </c>
      <c r="CF120" s="139">
        <v>30346</v>
      </c>
      <c r="CG120" s="216">
        <v>26313</v>
      </c>
      <c r="CH120" s="216">
        <v>1934</v>
      </c>
      <c r="CI120" s="216">
        <v>2099</v>
      </c>
      <c r="CJ120" s="212">
        <v>20.75</v>
      </c>
      <c r="CK120" s="144"/>
      <c r="CL120" s="130">
        <v>225</v>
      </c>
      <c r="CM120" s="228">
        <v>8468</v>
      </c>
      <c r="CN120" s="138"/>
      <c r="CO120" s="142">
        <v>3.9466216216216217</v>
      </c>
      <c r="CP120" s="142">
        <v>58.583824952398786</v>
      </c>
      <c r="CQ120" s="183">
        <v>-3820.0283419933867</v>
      </c>
      <c r="CR120" s="144"/>
      <c r="CS120"/>
      <c r="CU120" s="232">
        <v>48.889006875680266</v>
      </c>
      <c r="CV120" s="143">
        <v>145.01653282947566</v>
      </c>
      <c r="CW120" s="146">
        <v>6.727201777030678</v>
      </c>
      <c r="CX120" s="143">
        <v>7868.209730751063</v>
      </c>
      <c r="CY120" s="131">
        <v>28279</v>
      </c>
      <c r="CZ120" s="229">
        <v>9059</v>
      </c>
      <c r="DA120" s="229">
        <v>58321</v>
      </c>
      <c r="DB120" s="216">
        <v>-49262</v>
      </c>
      <c r="DC120" s="229">
        <v>30985</v>
      </c>
      <c r="DD120" s="229">
        <v>24030</v>
      </c>
      <c r="DE120" s="151"/>
      <c r="DG120" s="229">
        <v>-25</v>
      </c>
      <c r="DH120" s="229">
        <v>88</v>
      </c>
      <c r="DI120" s="229">
        <v>5816</v>
      </c>
      <c r="DJ120" s="229">
        <v>3010</v>
      </c>
      <c r="DK120" s="229">
        <v>0</v>
      </c>
      <c r="DL120" s="229">
        <v>0</v>
      </c>
      <c r="DM120" s="229">
        <v>2806</v>
      </c>
      <c r="DN120" s="131">
        <v>121</v>
      </c>
      <c r="DO120" s="130">
        <v>0</v>
      </c>
      <c r="DP120" s="131">
        <v>0</v>
      </c>
      <c r="DQ120" s="130">
        <v>2927</v>
      </c>
      <c r="DR120" s="130">
        <v>5299</v>
      </c>
      <c r="DS120" s="130">
        <v>5746</v>
      </c>
      <c r="DT120" s="167"/>
      <c r="DU120" s="183">
        <v>-183</v>
      </c>
      <c r="DV120" s="183">
        <v>-1455</v>
      </c>
      <c r="DW120" s="180">
        <v>-771</v>
      </c>
      <c r="DX120" s="130">
        <v>30985</v>
      </c>
      <c r="DY120" s="229">
        <v>27007</v>
      </c>
      <c r="DZ120" s="229">
        <v>2097</v>
      </c>
      <c r="EA120" s="229">
        <v>1881</v>
      </c>
      <c r="EB120" s="212">
        <v>20.75</v>
      </c>
      <c r="EC120" s="208"/>
      <c r="ED120" s="183">
        <v>141.66176470588201</v>
      </c>
      <c r="EE120" s="3">
        <v>22042</v>
      </c>
      <c r="EF120" s="183">
        <v>25197</v>
      </c>
      <c r="EG120" s="130">
        <v>21843</v>
      </c>
      <c r="EH120" s="130"/>
      <c r="EI120" s="130"/>
      <c r="EJ120" s="130"/>
      <c r="EK120" s="183">
        <v>-9314</v>
      </c>
      <c r="EL120" s="183">
        <v>2</v>
      </c>
      <c r="EM120" s="183">
        <v>219</v>
      </c>
      <c r="EN120" s="226">
        <v>-6061</v>
      </c>
      <c r="EO120" s="226">
        <v>8</v>
      </c>
      <c r="EP120" s="226">
        <v>4</v>
      </c>
      <c r="EQ120" s="226">
        <v>-6731</v>
      </c>
      <c r="ER120" s="230">
        <v>0</v>
      </c>
      <c r="ES120" s="230">
        <v>214</v>
      </c>
      <c r="ET120" s="3">
        <v>10000</v>
      </c>
      <c r="EU120" s="211">
        <v>-1100</v>
      </c>
      <c r="EV120" s="183">
        <v>0</v>
      </c>
      <c r="EW120" s="183">
        <v>5500</v>
      </c>
      <c r="EX120" s="130">
        <v>10000</v>
      </c>
      <c r="EY120" s="183">
        <v>-8600</v>
      </c>
      <c r="EZ120" s="3">
        <v>23085</v>
      </c>
      <c r="FA120" s="3">
        <v>8955</v>
      </c>
      <c r="FB120" s="3">
        <v>14130</v>
      </c>
      <c r="FC120" s="3">
        <v>774</v>
      </c>
      <c r="FD120" s="226">
        <v>27455</v>
      </c>
      <c r="FE120" s="183">
        <v>7825</v>
      </c>
      <c r="FF120" s="183">
        <v>19630</v>
      </c>
      <c r="FG120" s="183">
        <v>774</v>
      </c>
      <c r="FH120" s="230">
        <v>27400</v>
      </c>
      <c r="FI120" s="130">
        <v>15500</v>
      </c>
      <c r="FJ120" s="130">
        <v>11900</v>
      </c>
      <c r="FK120" s="130">
        <v>774</v>
      </c>
      <c r="FL120" s="29">
        <v>4083.150225511738</v>
      </c>
      <c r="FM120" s="139">
        <v>5552.0493712156494</v>
      </c>
      <c r="FN120" s="139">
        <v>5519.1308455361359</v>
      </c>
      <c r="FO120" s="172">
        <f t="shared" si="3"/>
        <v>1301.5421686746988</v>
      </c>
      <c r="FP120" s="170">
        <f t="shared" si="4"/>
        <v>153.70124807211843</v>
      </c>
      <c r="FR120" s="175"/>
      <c r="FS120" s="195"/>
      <c r="FV120" s="175">
        <v>271</v>
      </c>
      <c r="FW120" s="2">
        <f t="shared" si="5"/>
        <v>-271</v>
      </c>
      <c r="FZ120" s="186"/>
      <c r="GA120" s="2"/>
      <c r="GB120" s="2"/>
    </row>
    <row r="121" spans="1:184" ht="13" x14ac:dyDescent="0.3">
      <c r="A121" s="77">
        <v>407</v>
      </c>
      <c r="B121" s="75" t="s">
        <v>121</v>
      </c>
      <c r="C121" s="179">
        <v>2665</v>
      </c>
      <c r="D121" s="138"/>
      <c r="E121" s="142">
        <v>4.5945945945945948E-2</v>
      </c>
      <c r="F121" s="142">
        <v>51.323303316494616</v>
      </c>
      <c r="G121" s="183">
        <v>-3118.1988742964354</v>
      </c>
      <c r="H121" s="144"/>
      <c r="I121" s="186"/>
      <c r="K121" s="210">
        <v>46.248574686431013</v>
      </c>
      <c r="L121" s="143">
        <v>22.514071294559098</v>
      </c>
      <c r="M121" s="146">
        <v>1.0773847591872878</v>
      </c>
      <c r="N121" s="143">
        <v>7627.3921200750474</v>
      </c>
      <c r="O121" s="138">
        <v>4972</v>
      </c>
      <c r="P121" s="143">
        <v>2941</v>
      </c>
      <c r="Q121" s="184">
        <v>19038</v>
      </c>
      <c r="R121" s="184">
        <v>-16097</v>
      </c>
      <c r="S121" s="139">
        <v>8456</v>
      </c>
      <c r="T121" s="138">
        <v>6822</v>
      </c>
      <c r="U121" s="151"/>
      <c r="W121" s="183">
        <v>-31</v>
      </c>
      <c r="X121" s="183">
        <v>834</v>
      </c>
      <c r="Y121" s="184">
        <v>-16</v>
      </c>
      <c r="Z121" s="130">
        <v>581</v>
      </c>
      <c r="AA121" s="131">
        <v>0</v>
      </c>
      <c r="AB121" s="130">
        <v>0</v>
      </c>
      <c r="AC121" s="184">
        <v>-597</v>
      </c>
      <c r="AD121" s="183">
        <v>0</v>
      </c>
      <c r="AE121" s="183">
        <v>0</v>
      </c>
      <c r="AF121" s="183">
        <v>0</v>
      </c>
      <c r="AG121" s="183">
        <v>-597</v>
      </c>
      <c r="AH121" s="183">
        <v>816</v>
      </c>
      <c r="AI121" s="183">
        <v>-57</v>
      </c>
      <c r="AJ121" s="167"/>
      <c r="AK121" s="183">
        <v>-290</v>
      </c>
      <c r="AL121" s="183">
        <v>-337</v>
      </c>
      <c r="AM121" s="180">
        <v>-916</v>
      </c>
      <c r="AN121" s="139">
        <v>8456</v>
      </c>
      <c r="AO121" s="138">
        <v>7362</v>
      </c>
      <c r="AP121" s="184">
        <v>549</v>
      </c>
      <c r="AQ121" s="138">
        <v>545</v>
      </c>
      <c r="AR121" s="109">
        <v>20.5</v>
      </c>
      <c r="AS121" s="144"/>
      <c r="AT121" s="139">
        <v>254</v>
      </c>
      <c r="AU121" s="228">
        <v>2606</v>
      </c>
      <c r="AV121" s="138"/>
      <c r="AW121" s="224">
        <v>0.18165938864628822</v>
      </c>
      <c r="AX121" s="225">
        <v>53.746948306973785</v>
      </c>
      <c r="AY121" s="139">
        <v>-3283.5763622409822</v>
      </c>
      <c r="AZ121" s="144"/>
      <c r="BA121"/>
      <c r="BC121" s="189">
        <v>43.047949033195486</v>
      </c>
      <c r="BD121" s="183">
        <v>277.82041442824249</v>
      </c>
      <c r="BE121" s="140">
        <v>12.573630870247895</v>
      </c>
      <c r="BF121" s="139">
        <v>8064.8503453568692</v>
      </c>
      <c r="BG121" s="184">
        <v>4892</v>
      </c>
      <c r="BH121" s="216">
        <v>2776</v>
      </c>
      <c r="BI121" s="216">
        <v>19497</v>
      </c>
      <c r="BJ121" s="216">
        <v>-16714</v>
      </c>
      <c r="BK121" s="216">
        <v>8840</v>
      </c>
      <c r="BL121" s="216">
        <v>7226</v>
      </c>
      <c r="BM121" s="151"/>
      <c r="BO121" s="216">
        <v>-33</v>
      </c>
      <c r="BP121" s="216">
        <v>855</v>
      </c>
      <c r="BQ121" s="216">
        <v>174</v>
      </c>
      <c r="BR121" s="216">
        <v>584</v>
      </c>
      <c r="BS121" s="216">
        <v>0</v>
      </c>
      <c r="BT121" s="216">
        <v>0</v>
      </c>
      <c r="BU121" s="216">
        <v>-410</v>
      </c>
      <c r="BV121" s="183">
        <v>0</v>
      </c>
      <c r="BW121" s="183">
        <v>0</v>
      </c>
      <c r="BX121" s="183">
        <v>0</v>
      </c>
      <c r="BY121" s="183">
        <v>-410</v>
      </c>
      <c r="BZ121" s="183">
        <v>407</v>
      </c>
      <c r="CA121" s="183">
        <v>238</v>
      </c>
      <c r="CB121" s="167"/>
      <c r="CC121" s="183">
        <v>131</v>
      </c>
      <c r="CD121" s="183">
        <v>-402</v>
      </c>
      <c r="CE121" s="180">
        <v>-273</v>
      </c>
      <c r="CF121" s="139">
        <v>8840</v>
      </c>
      <c r="CG121" s="216">
        <v>7678</v>
      </c>
      <c r="CH121" s="216">
        <v>601</v>
      </c>
      <c r="CI121" s="216">
        <v>561</v>
      </c>
      <c r="CJ121" s="212">
        <v>20.5</v>
      </c>
      <c r="CK121" s="144"/>
      <c r="CL121" s="130">
        <v>203</v>
      </c>
      <c r="CM121" s="228">
        <v>2621</v>
      </c>
      <c r="CN121" s="138"/>
      <c r="CO121" s="142">
        <v>6.9444444444444446</v>
      </c>
      <c r="CP121" s="142">
        <v>45.370324742522051</v>
      </c>
      <c r="CQ121" s="183">
        <v>-2180.0839374284624</v>
      </c>
      <c r="CR121" s="144"/>
      <c r="CS121"/>
      <c r="CU121" s="232">
        <v>51.828919298610749</v>
      </c>
      <c r="CV121" s="143">
        <v>917.20717283479587</v>
      </c>
      <c r="CW121" s="146">
        <v>45.433645730854863</v>
      </c>
      <c r="CX121" s="143">
        <v>7368.561617703167</v>
      </c>
      <c r="CY121" s="131">
        <v>4422</v>
      </c>
      <c r="CZ121" s="229">
        <v>2839</v>
      </c>
      <c r="DA121" s="229">
        <v>18272</v>
      </c>
      <c r="DB121" s="216">
        <v>-15433</v>
      </c>
      <c r="DC121" s="229">
        <v>8781</v>
      </c>
      <c r="DD121" s="229">
        <v>8679</v>
      </c>
      <c r="DE121" s="151"/>
      <c r="DG121" s="229">
        <v>-27</v>
      </c>
      <c r="DH121" s="229">
        <v>970</v>
      </c>
      <c r="DI121" s="229">
        <v>2970</v>
      </c>
      <c r="DJ121" s="229">
        <v>712</v>
      </c>
      <c r="DK121" s="229">
        <v>0</v>
      </c>
      <c r="DL121" s="229">
        <v>0</v>
      </c>
      <c r="DM121" s="229">
        <v>2258</v>
      </c>
      <c r="DN121" s="130">
        <v>0</v>
      </c>
      <c r="DO121" s="130">
        <v>-1000</v>
      </c>
      <c r="DP121" s="130">
        <v>0</v>
      </c>
      <c r="DQ121" s="130">
        <v>1258</v>
      </c>
      <c r="DR121" s="130">
        <v>1665</v>
      </c>
      <c r="DS121" s="130">
        <v>2943</v>
      </c>
      <c r="DT121" s="167"/>
      <c r="DU121" s="183">
        <v>-242</v>
      </c>
      <c r="DV121" s="183">
        <v>-402</v>
      </c>
      <c r="DW121" s="180">
        <v>2596</v>
      </c>
      <c r="DX121" s="130">
        <v>8781</v>
      </c>
      <c r="DY121" s="229">
        <v>7630</v>
      </c>
      <c r="DZ121" s="229">
        <v>619</v>
      </c>
      <c r="EA121" s="229">
        <v>532</v>
      </c>
      <c r="EB121" s="212">
        <v>21</v>
      </c>
      <c r="EC121" s="208"/>
      <c r="ED121" s="183">
        <v>13</v>
      </c>
      <c r="EE121" s="3">
        <v>11587</v>
      </c>
      <c r="EF121" s="183">
        <v>12213</v>
      </c>
      <c r="EG121" s="130">
        <v>11796</v>
      </c>
      <c r="EH121" s="130"/>
      <c r="EI121" s="130"/>
      <c r="EJ121" s="130">
        <v>360</v>
      </c>
      <c r="EK121" s="183">
        <v>-910</v>
      </c>
      <c r="EL121" s="183">
        <v>0</v>
      </c>
      <c r="EM121" s="183">
        <v>51</v>
      </c>
      <c r="EN121" s="226">
        <v>-1087</v>
      </c>
      <c r="EO121" s="226">
        <v>28</v>
      </c>
      <c r="EP121" s="226">
        <v>548</v>
      </c>
      <c r="EQ121" s="226">
        <v>-610</v>
      </c>
      <c r="ER121" s="230">
        <v>13</v>
      </c>
      <c r="ES121" s="230">
        <v>250</v>
      </c>
      <c r="ET121" s="3">
        <v>1000</v>
      </c>
      <c r="EU121" s="211">
        <v>-400</v>
      </c>
      <c r="EV121" s="183">
        <v>1000</v>
      </c>
      <c r="EW121" s="183">
        <v>100</v>
      </c>
      <c r="EX121" s="130">
        <v>0</v>
      </c>
      <c r="EY121" s="183">
        <v>0</v>
      </c>
      <c r="EZ121" s="3">
        <v>7258</v>
      </c>
      <c r="FA121" s="3">
        <v>3956</v>
      </c>
      <c r="FB121" s="3">
        <v>3302</v>
      </c>
      <c r="FC121" s="3">
        <v>251</v>
      </c>
      <c r="FD121" s="226">
        <v>7956</v>
      </c>
      <c r="FE121" s="183">
        <v>4554</v>
      </c>
      <c r="FF121" s="183">
        <v>3402</v>
      </c>
      <c r="FG121" s="183">
        <v>251</v>
      </c>
      <c r="FH121" s="230">
        <v>7554</v>
      </c>
      <c r="FI121" s="130">
        <v>4152</v>
      </c>
      <c r="FJ121" s="130">
        <v>3402</v>
      </c>
      <c r="FK121" s="130">
        <v>251</v>
      </c>
      <c r="FL121" s="29">
        <v>6647.6547842401505</v>
      </c>
      <c r="FM121" s="139">
        <v>7514.1980046047574</v>
      </c>
      <c r="FN121" s="139">
        <v>6978.2525753529189</v>
      </c>
      <c r="FO121" s="172">
        <f t="shared" si="3"/>
        <v>363.33333333333331</v>
      </c>
      <c r="FP121" s="170">
        <f t="shared" si="4"/>
        <v>138.62393488490395</v>
      </c>
      <c r="FR121" s="175"/>
      <c r="FS121" s="195"/>
      <c r="FV121" s="175">
        <v>213</v>
      </c>
      <c r="FW121" s="2">
        <f t="shared" si="5"/>
        <v>-213</v>
      </c>
      <c r="FZ121" s="186"/>
      <c r="GA121" s="2"/>
      <c r="GB121" s="2"/>
    </row>
    <row r="122" spans="1:184" ht="13" x14ac:dyDescent="0.3">
      <c r="A122" s="77">
        <v>402</v>
      </c>
      <c r="B122" s="75" t="s">
        <v>118</v>
      </c>
      <c r="C122" s="179">
        <v>9617</v>
      </c>
      <c r="D122" s="138"/>
      <c r="E122" s="142">
        <v>1.1722203893104586</v>
      </c>
      <c r="F122" s="142">
        <v>54.323040735913224</v>
      </c>
      <c r="G122" s="183">
        <v>-3492.1493189144226</v>
      </c>
      <c r="H122" s="144"/>
      <c r="I122" s="186"/>
      <c r="K122" s="210">
        <v>50.039740809095932</v>
      </c>
      <c r="L122" s="143">
        <v>17.573047727981702</v>
      </c>
      <c r="M122" s="146">
        <v>0.85577336607427756</v>
      </c>
      <c r="N122" s="143">
        <v>7495.1648123115319</v>
      </c>
      <c r="O122" s="138">
        <v>30671</v>
      </c>
      <c r="P122" s="143">
        <v>7308</v>
      </c>
      <c r="Q122" s="184">
        <v>64433</v>
      </c>
      <c r="R122" s="184">
        <v>-57125</v>
      </c>
      <c r="S122" s="139">
        <v>29188</v>
      </c>
      <c r="T122" s="138">
        <v>30251</v>
      </c>
      <c r="U122" s="151"/>
      <c r="W122" s="183">
        <v>107</v>
      </c>
      <c r="X122" s="183">
        <v>889</v>
      </c>
      <c r="Y122" s="184">
        <v>3310</v>
      </c>
      <c r="Z122" s="130">
        <v>2784</v>
      </c>
      <c r="AA122" s="130">
        <v>0</v>
      </c>
      <c r="AB122" s="130">
        <v>0</v>
      </c>
      <c r="AC122" s="184">
        <v>526</v>
      </c>
      <c r="AD122" s="183">
        <v>59</v>
      </c>
      <c r="AE122" s="183">
        <v>0</v>
      </c>
      <c r="AF122" s="184">
        <v>0</v>
      </c>
      <c r="AG122" s="183">
        <v>585</v>
      </c>
      <c r="AH122" s="183">
        <v>1600</v>
      </c>
      <c r="AI122" s="183">
        <v>3324</v>
      </c>
      <c r="AJ122" s="167"/>
      <c r="AK122" s="183">
        <v>315</v>
      </c>
      <c r="AL122" s="183">
        <v>-2788</v>
      </c>
      <c r="AM122" s="180">
        <v>-1256</v>
      </c>
      <c r="AN122" s="139">
        <v>29188</v>
      </c>
      <c r="AO122" s="138">
        <v>25409</v>
      </c>
      <c r="AP122" s="184">
        <v>1555</v>
      </c>
      <c r="AQ122" s="138">
        <v>2224</v>
      </c>
      <c r="AR122" s="109">
        <v>21.25</v>
      </c>
      <c r="AS122" s="144"/>
      <c r="AT122" s="139">
        <v>97</v>
      </c>
      <c r="AU122" s="228">
        <v>9485</v>
      </c>
      <c r="AV122" s="138"/>
      <c r="AW122" s="224">
        <v>0.55947988051309083</v>
      </c>
      <c r="AX122" s="225">
        <v>55.673255917028634</v>
      </c>
      <c r="AY122" s="139">
        <v>-3727.0426989984185</v>
      </c>
      <c r="AZ122" s="144"/>
      <c r="BA122"/>
      <c r="BC122" s="189">
        <v>48.639166489474803</v>
      </c>
      <c r="BD122" s="183">
        <v>3.0574591460200318</v>
      </c>
      <c r="BE122" s="140">
        <v>0.14248983657755163</v>
      </c>
      <c r="BF122" s="139">
        <v>7831.9451765946233</v>
      </c>
      <c r="BG122" s="184">
        <v>31425</v>
      </c>
      <c r="BH122" s="216">
        <v>7702</v>
      </c>
      <c r="BI122" s="216">
        <v>66670</v>
      </c>
      <c r="BJ122" s="216">
        <v>-58968</v>
      </c>
      <c r="BK122" s="216">
        <v>30200</v>
      </c>
      <c r="BL122" s="216">
        <v>29784</v>
      </c>
      <c r="BM122" s="151"/>
      <c r="BO122" s="216">
        <v>292</v>
      </c>
      <c r="BP122" s="216">
        <v>832</v>
      </c>
      <c r="BQ122" s="216">
        <v>2140</v>
      </c>
      <c r="BR122" s="216">
        <v>2686</v>
      </c>
      <c r="BS122" s="216">
        <v>0</v>
      </c>
      <c r="BT122" s="216">
        <v>0</v>
      </c>
      <c r="BU122" s="216">
        <v>-546</v>
      </c>
      <c r="BV122" s="183">
        <v>59</v>
      </c>
      <c r="BW122" s="183">
        <v>0</v>
      </c>
      <c r="BX122" s="184">
        <v>0</v>
      </c>
      <c r="BY122" s="183">
        <v>-487</v>
      </c>
      <c r="BZ122" s="183">
        <v>1113</v>
      </c>
      <c r="CA122" s="183">
        <v>2378</v>
      </c>
      <c r="CB122" s="167"/>
      <c r="CC122" s="183">
        <v>202</v>
      </c>
      <c r="CD122" s="183">
        <v>-2737</v>
      </c>
      <c r="CE122" s="180">
        <v>-2203</v>
      </c>
      <c r="CF122" s="139">
        <v>30200</v>
      </c>
      <c r="CG122" s="216">
        <v>26302</v>
      </c>
      <c r="CH122" s="216">
        <v>1645</v>
      </c>
      <c r="CI122" s="216">
        <v>2253</v>
      </c>
      <c r="CJ122" s="212">
        <v>21.25</v>
      </c>
      <c r="CK122" s="144"/>
      <c r="CL122" s="130">
        <v>115</v>
      </c>
      <c r="CM122" s="228">
        <v>9358</v>
      </c>
      <c r="CN122" s="138"/>
      <c r="CO122" s="142">
        <v>1.5874380165289257</v>
      </c>
      <c r="CP122" s="142">
        <v>58.66316330928251</v>
      </c>
      <c r="CQ122" s="183">
        <v>-4052.1478948493268</v>
      </c>
      <c r="CR122" s="144"/>
      <c r="CS122"/>
      <c r="CU122" s="232">
        <v>47.045371163018224</v>
      </c>
      <c r="CV122" s="143">
        <v>218.31587946142338</v>
      </c>
      <c r="CW122" s="146">
        <v>9.4418065790473289</v>
      </c>
      <c r="CX122" s="143">
        <v>8439.6238512502678</v>
      </c>
      <c r="CY122" s="131">
        <v>32597</v>
      </c>
      <c r="CZ122" s="229">
        <v>7473</v>
      </c>
      <c r="DA122" s="229">
        <v>68462</v>
      </c>
      <c r="DB122" s="216">
        <v>-60989</v>
      </c>
      <c r="DC122" s="229">
        <v>30831</v>
      </c>
      <c r="DD122" s="229">
        <v>33641</v>
      </c>
      <c r="DE122" s="151"/>
      <c r="DG122" s="229">
        <v>194</v>
      </c>
      <c r="DH122" s="229">
        <v>871</v>
      </c>
      <c r="DI122" s="229">
        <v>4548</v>
      </c>
      <c r="DJ122" s="229">
        <v>2679</v>
      </c>
      <c r="DK122" s="229">
        <v>0</v>
      </c>
      <c r="DL122" s="229">
        <v>0</v>
      </c>
      <c r="DM122" s="229">
        <v>1869</v>
      </c>
      <c r="DN122" s="130">
        <v>59</v>
      </c>
      <c r="DO122" s="130">
        <v>0</v>
      </c>
      <c r="DP122" s="131">
        <v>0</v>
      </c>
      <c r="DQ122" s="130">
        <v>1928</v>
      </c>
      <c r="DR122" s="130">
        <v>3041</v>
      </c>
      <c r="DS122" s="130">
        <v>4619</v>
      </c>
      <c r="DT122" s="167"/>
      <c r="DU122" s="183">
        <v>70</v>
      </c>
      <c r="DV122" s="183">
        <v>-2771</v>
      </c>
      <c r="DW122" s="180">
        <v>-2605</v>
      </c>
      <c r="DX122" s="130">
        <v>30831</v>
      </c>
      <c r="DY122" s="229">
        <v>26879</v>
      </c>
      <c r="DZ122" s="229">
        <v>1897</v>
      </c>
      <c r="EA122" s="229">
        <v>2055</v>
      </c>
      <c r="EB122" s="212">
        <v>21.25</v>
      </c>
      <c r="EC122" s="208"/>
      <c r="ED122" s="183">
        <v>233.33088235294099</v>
      </c>
      <c r="EE122" s="3">
        <v>25036</v>
      </c>
      <c r="EF122" s="183">
        <v>25934</v>
      </c>
      <c r="EG122" s="130">
        <v>26505</v>
      </c>
      <c r="EH122" s="130"/>
      <c r="EI122" s="130"/>
      <c r="EJ122" s="130"/>
      <c r="EK122" s="183">
        <v>-4613</v>
      </c>
      <c r="EL122" s="183">
        <v>0</v>
      </c>
      <c r="EM122" s="183">
        <v>33</v>
      </c>
      <c r="EN122" s="226">
        <v>-4621</v>
      </c>
      <c r="EO122" s="226">
        <v>0</v>
      </c>
      <c r="EP122" s="226">
        <v>40</v>
      </c>
      <c r="EQ122" s="226">
        <v>-7483</v>
      </c>
      <c r="ER122" s="230">
        <v>217</v>
      </c>
      <c r="ES122" s="230">
        <v>42</v>
      </c>
      <c r="ET122" s="3">
        <v>2000</v>
      </c>
      <c r="EU122" s="211">
        <v>0</v>
      </c>
      <c r="EV122" s="183">
        <v>4000</v>
      </c>
      <c r="EW122" s="183">
        <v>525</v>
      </c>
      <c r="EX122" s="130">
        <v>7000</v>
      </c>
      <c r="EY122" s="183">
        <v>-525</v>
      </c>
      <c r="EZ122" s="3">
        <v>28443</v>
      </c>
      <c r="FA122" s="3">
        <v>25773</v>
      </c>
      <c r="FB122" s="3">
        <v>2670</v>
      </c>
      <c r="FC122" s="3">
        <v>10805</v>
      </c>
      <c r="FD122" s="226">
        <v>30231</v>
      </c>
      <c r="FE122" s="183">
        <v>27035</v>
      </c>
      <c r="FF122" s="183">
        <v>3196</v>
      </c>
      <c r="FG122" s="183">
        <v>10351</v>
      </c>
      <c r="FH122" s="230">
        <v>33935</v>
      </c>
      <c r="FI122" s="130">
        <v>30943</v>
      </c>
      <c r="FJ122" s="130">
        <v>2992</v>
      </c>
      <c r="FK122" s="130">
        <v>10351</v>
      </c>
      <c r="FL122" s="29">
        <v>5696.3710096703753</v>
      </c>
      <c r="FM122" s="139">
        <v>5920.0843437005806</v>
      </c>
      <c r="FN122" s="139">
        <v>6405.1079290446678</v>
      </c>
      <c r="FO122" s="172">
        <f t="shared" si="3"/>
        <v>1264.8941176470589</v>
      </c>
      <c r="FP122" s="170">
        <f t="shared" si="4"/>
        <v>135.16714230039099</v>
      </c>
      <c r="FR122" s="175"/>
      <c r="FS122" s="195"/>
      <c r="FV122" s="175">
        <v>1488</v>
      </c>
      <c r="FW122" s="2">
        <f t="shared" si="5"/>
        <v>-1488</v>
      </c>
      <c r="FZ122" s="186"/>
      <c r="GA122" s="2"/>
      <c r="GB122" s="2"/>
    </row>
    <row r="123" spans="1:184" ht="13" x14ac:dyDescent="0.3">
      <c r="A123" s="77">
        <v>403</v>
      </c>
      <c r="B123" s="75" t="s">
        <v>119</v>
      </c>
      <c r="C123" s="179">
        <v>3078</v>
      </c>
      <c r="D123" s="138"/>
      <c r="E123" s="142">
        <v>0.38976377952755903</v>
      </c>
      <c r="F123" s="142">
        <v>60.934946060804187</v>
      </c>
      <c r="G123" s="183">
        <v>-2047.4333983105914</v>
      </c>
      <c r="H123" s="144"/>
      <c r="I123" s="186"/>
      <c r="K123" s="210">
        <v>53.92358447138254</v>
      </c>
      <c r="L123" s="143">
        <v>976.60818713450294</v>
      </c>
      <c r="M123" s="146">
        <v>37.012211577384967</v>
      </c>
      <c r="N123" s="143">
        <v>9630.9291747888237</v>
      </c>
      <c r="O123" s="138">
        <v>4814</v>
      </c>
      <c r="P123" s="143">
        <v>4329</v>
      </c>
      <c r="Q123" s="184">
        <v>22646</v>
      </c>
      <c r="R123" s="184">
        <v>-18317</v>
      </c>
      <c r="S123" s="139">
        <v>9318</v>
      </c>
      <c r="T123" s="138">
        <v>10825</v>
      </c>
      <c r="U123" s="151"/>
      <c r="W123" s="183">
        <v>-39</v>
      </c>
      <c r="X123" s="183">
        <v>54</v>
      </c>
      <c r="Y123" s="184">
        <v>1841</v>
      </c>
      <c r="Z123" s="130">
        <v>1739</v>
      </c>
      <c r="AA123" s="130">
        <v>0</v>
      </c>
      <c r="AB123" s="130">
        <v>0</v>
      </c>
      <c r="AC123" s="184">
        <v>102</v>
      </c>
      <c r="AD123" s="183">
        <v>27</v>
      </c>
      <c r="AE123" s="183">
        <v>0</v>
      </c>
      <c r="AF123" s="183">
        <v>0</v>
      </c>
      <c r="AG123" s="183">
        <v>129</v>
      </c>
      <c r="AH123" s="183">
        <v>1297</v>
      </c>
      <c r="AI123" s="183">
        <v>-53</v>
      </c>
      <c r="AJ123" s="167"/>
      <c r="AK123" s="183">
        <v>-4113</v>
      </c>
      <c r="AL123" s="183">
        <v>-4786</v>
      </c>
      <c r="AM123" s="180">
        <v>5342</v>
      </c>
      <c r="AN123" s="139">
        <v>9318</v>
      </c>
      <c r="AO123" s="138">
        <v>7532</v>
      </c>
      <c r="AP123" s="184">
        <v>757</v>
      </c>
      <c r="AQ123" s="138">
        <v>1029</v>
      </c>
      <c r="AR123" s="109">
        <v>21</v>
      </c>
      <c r="AS123" s="144"/>
      <c r="AT123" s="139">
        <v>22</v>
      </c>
      <c r="AU123" s="228">
        <v>2996</v>
      </c>
      <c r="AV123" s="138"/>
      <c r="AW123" s="224">
        <v>0.48181043922618322</v>
      </c>
      <c r="AX123" s="225">
        <v>41.29856763015696</v>
      </c>
      <c r="AY123" s="139">
        <v>-2805.7409879839788</v>
      </c>
      <c r="AZ123" s="144"/>
      <c r="BA123"/>
      <c r="BC123" s="189">
        <v>63.892202176830175</v>
      </c>
      <c r="BD123" s="183">
        <v>77.102803738317746</v>
      </c>
      <c r="BE123" s="140">
        <v>3.2490077453662671</v>
      </c>
      <c r="BF123" s="139">
        <v>8661.8825100133508</v>
      </c>
      <c r="BG123" s="184">
        <v>4573</v>
      </c>
      <c r="BH123" s="216">
        <v>2554</v>
      </c>
      <c r="BI123" s="216">
        <v>22839</v>
      </c>
      <c r="BJ123" s="216">
        <v>-20285</v>
      </c>
      <c r="BK123" s="216">
        <v>9693</v>
      </c>
      <c r="BL123" s="216">
        <v>11071</v>
      </c>
      <c r="BM123" s="151"/>
      <c r="BO123" s="216">
        <v>-17</v>
      </c>
      <c r="BP123" s="216">
        <v>14</v>
      </c>
      <c r="BQ123" s="216">
        <v>476</v>
      </c>
      <c r="BR123" s="216">
        <v>906</v>
      </c>
      <c r="BS123" s="216">
        <v>0</v>
      </c>
      <c r="BT123" s="216">
        <v>0</v>
      </c>
      <c r="BU123" s="216">
        <v>-430</v>
      </c>
      <c r="BV123" s="183">
        <v>27</v>
      </c>
      <c r="BW123" s="183">
        <v>0</v>
      </c>
      <c r="BX123" s="183">
        <v>0</v>
      </c>
      <c r="BY123" s="183">
        <v>-403</v>
      </c>
      <c r="BZ123" s="183">
        <v>894</v>
      </c>
      <c r="CA123" s="183">
        <v>476</v>
      </c>
      <c r="CB123" s="167"/>
      <c r="CC123" s="183">
        <v>4610</v>
      </c>
      <c r="CD123" s="183">
        <v>-300</v>
      </c>
      <c r="CE123" s="180">
        <v>-1922</v>
      </c>
      <c r="CF123" s="139">
        <v>9693</v>
      </c>
      <c r="CG123" s="216">
        <v>8040</v>
      </c>
      <c r="CH123" s="216">
        <v>656</v>
      </c>
      <c r="CI123" s="216">
        <v>997</v>
      </c>
      <c r="CJ123" s="212">
        <v>21.5</v>
      </c>
      <c r="CK123" s="144"/>
      <c r="CL123" s="130">
        <v>149</v>
      </c>
      <c r="CM123" s="228">
        <v>2925</v>
      </c>
      <c r="CN123" s="138"/>
      <c r="CO123" s="142">
        <v>2.6164079822616406</v>
      </c>
      <c r="CP123" s="142">
        <v>64.103734439834028</v>
      </c>
      <c r="CQ123" s="183">
        <v>-4463.2478632478633</v>
      </c>
      <c r="CR123" s="144"/>
      <c r="CS123"/>
      <c r="CU123" s="232">
        <v>52.847061686336538</v>
      </c>
      <c r="CV123" s="143">
        <v>425.982905982906</v>
      </c>
      <c r="CW123" s="146">
        <v>15.417132784162176</v>
      </c>
      <c r="CX123" s="143">
        <v>10085.128205128205</v>
      </c>
      <c r="CY123" s="131">
        <v>4294</v>
      </c>
      <c r="CZ123" s="229">
        <v>2393</v>
      </c>
      <c r="DA123" s="229">
        <v>22944</v>
      </c>
      <c r="DB123" s="216">
        <v>-20551</v>
      </c>
      <c r="DC123" s="229">
        <v>9475</v>
      </c>
      <c r="DD123" s="229">
        <v>12232</v>
      </c>
      <c r="DE123" s="151"/>
      <c r="DG123" s="229">
        <v>-13</v>
      </c>
      <c r="DH123" s="229">
        <v>11</v>
      </c>
      <c r="DI123" s="229">
        <v>1154</v>
      </c>
      <c r="DJ123" s="229">
        <v>921</v>
      </c>
      <c r="DK123" s="229">
        <v>0</v>
      </c>
      <c r="DL123" s="229">
        <v>0</v>
      </c>
      <c r="DM123" s="229">
        <v>233</v>
      </c>
      <c r="DN123" s="130">
        <v>27</v>
      </c>
      <c r="DO123" s="130">
        <v>0</v>
      </c>
      <c r="DP123" s="130">
        <v>0</v>
      </c>
      <c r="DQ123" s="130">
        <v>260</v>
      </c>
      <c r="DR123" s="130">
        <v>1154</v>
      </c>
      <c r="DS123" s="130">
        <v>1145</v>
      </c>
      <c r="DT123" s="167"/>
      <c r="DU123" s="183">
        <v>-154</v>
      </c>
      <c r="DV123" s="183">
        <v>-425</v>
      </c>
      <c r="DW123" s="180">
        <v>-4484</v>
      </c>
      <c r="DX123" s="130">
        <v>9475</v>
      </c>
      <c r="DY123" s="229">
        <v>8124</v>
      </c>
      <c r="DZ123" s="229">
        <v>648</v>
      </c>
      <c r="EA123" s="229">
        <v>703</v>
      </c>
      <c r="EB123" s="212">
        <v>21.5</v>
      </c>
      <c r="EC123" s="208"/>
      <c r="ED123" s="183">
        <v>257.50735294117601</v>
      </c>
      <c r="EE123" s="3">
        <v>15895</v>
      </c>
      <c r="EF123" s="183">
        <v>16130</v>
      </c>
      <c r="EG123" s="130">
        <v>16538</v>
      </c>
      <c r="EH123" s="130"/>
      <c r="EI123" s="130"/>
      <c r="EJ123" s="130"/>
      <c r="EK123" s="183">
        <v>-2172</v>
      </c>
      <c r="EL123" s="183">
        <v>202</v>
      </c>
      <c r="EM123" s="183">
        <v>7365</v>
      </c>
      <c r="EN123" s="226">
        <v>-2792</v>
      </c>
      <c r="EO123" s="226">
        <v>251</v>
      </c>
      <c r="EP123" s="226">
        <v>143</v>
      </c>
      <c r="EQ123" s="226">
        <v>-5940</v>
      </c>
      <c r="ER123" s="230">
        <v>302</v>
      </c>
      <c r="ES123" s="230">
        <v>9</v>
      </c>
      <c r="ET123" s="3">
        <v>0</v>
      </c>
      <c r="EU123" s="211">
        <v>850</v>
      </c>
      <c r="EV123" s="183">
        <v>0</v>
      </c>
      <c r="EW123" s="183">
        <v>0</v>
      </c>
      <c r="EX123" s="130">
        <v>5000</v>
      </c>
      <c r="EY123" s="183">
        <v>500</v>
      </c>
      <c r="EZ123" s="3">
        <v>7700</v>
      </c>
      <c r="FA123" s="3">
        <v>600</v>
      </c>
      <c r="FB123" s="3">
        <v>7100</v>
      </c>
      <c r="FC123" s="3">
        <v>1810</v>
      </c>
      <c r="FD123" s="226">
        <v>7400</v>
      </c>
      <c r="FE123" s="183">
        <v>300</v>
      </c>
      <c r="FF123" s="183">
        <v>7100</v>
      </c>
      <c r="FG123" s="183">
        <v>1810</v>
      </c>
      <c r="FH123" s="230">
        <v>12475</v>
      </c>
      <c r="FI123" s="130">
        <v>4625</v>
      </c>
      <c r="FJ123" s="130">
        <v>7850</v>
      </c>
      <c r="FK123" s="130">
        <v>1970</v>
      </c>
      <c r="FL123" s="29">
        <v>4953.2163742690054</v>
      </c>
      <c r="FM123" s="139">
        <v>5005.0066755674234</v>
      </c>
      <c r="FN123" s="139">
        <v>7076.2393162393164</v>
      </c>
      <c r="FO123" s="172">
        <f t="shared" si="3"/>
        <v>377.86046511627904</v>
      </c>
      <c r="FP123" s="170">
        <f t="shared" si="4"/>
        <v>129.18306499701848</v>
      </c>
      <c r="FR123" s="175"/>
      <c r="FS123" s="195"/>
      <c r="FV123" s="175">
        <v>651</v>
      </c>
      <c r="FW123" s="2">
        <f t="shared" si="5"/>
        <v>-651</v>
      </c>
      <c r="FZ123" s="186"/>
      <c r="GA123" s="2"/>
      <c r="GB123" s="2"/>
    </row>
    <row r="124" spans="1:184" ht="13" x14ac:dyDescent="0.3">
      <c r="A124" s="77">
        <v>405</v>
      </c>
      <c r="B124" s="75" t="s">
        <v>120</v>
      </c>
      <c r="C124" s="179">
        <v>72699</v>
      </c>
      <c r="D124" s="138"/>
      <c r="E124" s="142">
        <v>0.60171701485540152</v>
      </c>
      <c r="F124" s="142">
        <v>61.010647133647808</v>
      </c>
      <c r="G124" s="183">
        <v>-3029.6565289756395</v>
      </c>
      <c r="H124" s="144"/>
      <c r="I124" s="186"/>
      <c r="K124" s="210">
        <v>49.423863213975963</v>
      </c>
      <c r="L124" s="143">
        <v>522.64817947977269</v>
      </c>
      <c r="M124" s="146">
        <v>28.331647964176202</v>
      </c>
      <c r="N124" s="143">
        <v>6733.3388354722902</v>
      </c>
      <c r="O124" s="138">
        <v>99779</v>
      </c>
      <c r="P124" s="143">
        <v>42948</v>
      </c>
      <c r="Q124" s="184">
        <v>431461</v>
      </c>
      <c r="R124" s="184">
        <v>-388513</v>
      </c>
      <c r="S124" s="139">
        <v>290688</v>
      </c>
      <c r="T124" s="138">
        <v>106908</v>
      </c>
      <c r="U124" s="151"/>
      <c r="W124" s="183">
        <v>6775</v>
      </c>
      <c r="X124" s="183">
        <v>3135</v>
      </c>
      <c r="Y124" s="184">
        <v>18993</v>
      </c>
      <c r="Z124" s="130">
        <v>22268</v>
      </c>
      <c r="AA124" s="130">
        <v>0</v>
      </c>
      <c r="AB124" s="130">
        <v>0</v>
      </c>
      <c r="AC124" s="184">
        <v>-3275</v>
      </c>
      <c r="AD124" s="184">
        <v>-352</v>
      </c>
      <c r="AE124" s="183">
        <v>293</v>
      </c>
      <c r="AF124" s="183">
        <v>48</v>
      </c>
      <c r="AG124" s="183">
        <v>-3286</v>
      </c>
      <c r="AH124" s="183">
        <v>59210</v>
      </c>
      <c r="AI124" s="183">
        <v>24986</v>
      </c>
      <c r="AJ124" s="167"/>
      <c r="AK124" s="183">
        <v>6354</v>
      </c>
      <c r="AL124" s="183">
        <v>-32586</v>
      </c>
      <c r="AM124" s="180">
        <v>6230</v>
      </c>
      <c r="AN124" s="139">
        <v>290688</v>
      </c>
      <c r="AO124" s="138">
        <v>243607</v>
      </c>
      <c r="AP124" s="184">
        <v>22310</v>
      </c>
      <c r="AQ124" s="138">
        <v>24771</v>
      </c>
      <c r="AR124" s="109">
        <v>21</v>
      </c>
      <c r="AS124" s="144"/>
      <c r="AT124" s="139">
        <v>132</v>
      </c>
      <c r="AU124" s="228">
        <v>72634</v>
      </c>
      <c r="AV124" s="138"/>
      <c r="AW124" s="224">
        <v>0.90573662132458854</v>
      </c>
      <c r="AX124" s="225">
        <v>63.681589835824468</v>
      </c>
      <c r="AY124" s="139">
        <v>-3193.7797725583059</v>
      </c>
      <c r="AZ124" s="144"/>
      <c r="BA124"/>
      <c r="BC124" s="189">
        <v>48.233440010495102</v>
      </c>
      <c r="BD124" s="183">
        <v>607.22251287275935</v>
      </c>
      <c r="BE124" s="140">
        <v>29.445121203973493</v>
      </c>
      <c r="BF124" s="139">
        <v>7527.0947490156123</v>
      </c>
      <c r="BG124" s="184">
        <v>103121</v>
      </c>
      <c r="BH124" s="216">
        <v>46050</v>
      </c>
      <c r="BI124" s="216">
        <v>436615</v>
      </c>
      <c r="BJ124" s="216">
        <v>-389688</v>
      </c>
      <c r="BK124" s="216">
        <v>295558</v>
      </c>
      <c r="BL124" s="216">
        <v>109860</v>
      </c>
      <c r="BM124" s="151"/>
      <c r="BO124" s="216">
        <v>5274</v>
      </c>
      <c r="BP124" s="216">
        <v>5440</v>
      </c>
      <c r="BQ124" s="216">
        <v>26444</v>
      </c>
      <c r="BR124" s="216">
        <v>26247</v>
      </c>
      <c r="BS124" s="216">
        <v>0</v>
      </c>
      <c r="BT124" s="216">
        <v>0</v>
      </c>
      <c r="BU124" s="216">
        <v>197</v>
      </c>
      <c r="BV124" s="184">
        <v>119</v>
      </c>
      <c r="BW124" s="183">
        <v>33</v>
      </c>
      <c r="BX124" s="183">
        <v>0</v>
      </c>
      <c r="BY124" s="183">
        <v>349</v>
      </c>
      <c r="BZ124" s="183">
        <v>59557</v>
      </c>
      <c r="CA124" s="183">
        <v>12359</v>
      </c>
      <c r="CB124" s="167"/>
      <c r="CC124" s="183">
        <v>-1551</v>
      </c>
      <c r="CD124" s="183">
        <v>-62709</v>
      </c>
      <c r="CE124" s="180">
        <v>-22478</v>
      </c>
      <c r="CF124" s="139">
        <v>295558</v>
      </c>
      <c r="CG124" s="216">
        <v>247955</v>
      </c>
      <c r="CH124" s="216">
        <v>21726</v>
      </c>
      <c r="CI124" s="216">
        <v>25877</v>
      </c>
      <c r="CJ124" s="212">
        <v>21</v>
      </c>
      <c r="CK124" s="144"/>
      <c r="CL124" s="130">
        <v>68</v>
      </c>
      <c r="CM124" s="228">
        <v>72662</v>
      </c>
      <c r="CN124" s="138"/>
      <c r="CO124" s="142">
        <v>1.2280048382989559</v>
      </c>
      <c r="CP124" s="142">
        <v>59.542956639738087</v>
      </c>
      <c r="CQ124" s="183">
        <v>-3051.7051553769506</v>
      </c>
      <c r="CR124" s="144"/>
      <c r="CS124"/>
      <c r="CU124" s="232">
        <v>47.060641263556576</v>
      </c>
      <c r="CV124" s="143">
        <v>782.59613002669892</v>
      </c>
      <c r="CW124" s="146">
        <v>38.540515799109819</v>
      </c>
      <c r="CX124" s="143">
        <v>7411.6181773141398</v>
      </c>
      <c r="CY124" s="131">
        <v>104252</v>
      </c>
      <c r="CZ124" s="229">
        <v>40479</v>
      </c>
      <c r="DA124" s="229">
        <v>463144</v>
      </c>
      <c r="DB124" s="216">
        <v>-422665</v>
      </c>
      <c r="DC124" s="229">
        <v>305197</v>
      </c>
      <c r="DD124" s="229">
        <v>144505</v>
      </c>
      <c r="DE124" s="151"/>
      <c r="DG124" s="229">
        <v>5235</v>
      </c>
      <c r="DH124" s="229">
        <v>4029</v>
      </c>
      <c r="DI124" s="229">
        <v>36301</v>
      </c>
      <c r="DJ124" s="229">
        <v>30939</v>
      </c>
      <c r="DK124" s="229">
        <v>0</v>
      </c>
      <c r="DL124" s="229">
        <v>0</v>
      </c>
      <c r="DM124" s="229">
        <v>5362</v>
      </c>
      <c r="DN124" s="131">
        <v>161</v>
      </c>
      <c r="DO124" s="130">
        <v>168</v>
      </c>
      <c r="DP124" s="130">
        <v>0</v>
      </c>
      <c r="DQ124" s="130">
        <v>5691</v>
      </c>
      <c r="DR124" s="130">
        <v>65248</v>
      </c>
      <c r="DS124" s="130">
        <v>51164</v>
      </c>
      <c r="DT124" s="167"/>
      <c r="DU124" s="183">
        <v>-1326</v>
      </c>
      <c r="DV124" s="183">
        <v>-29138</v>
      </c>
      <c r="DW124" s="180">
        <v>10521</v>
      </c>
      <c r="DX124" s="130">
        <v>305197</v>
      </c>
      <c r="DY124" s="229">
        <v>255268</v>
      </c>
      <c r="DZ124" s="229">
        <v>25511</v>
      </c>
      <c r="EA124" s="229">
        <v>24418</v>
      </c>
      <c r="EB124" s="212">
        <v>21</v>
      </c>
      <c r="EC124" s="208"/>
      <c r="ED124" s="183">
        <v>228.29411764705799</v>
      </c>
      <c r="EE124" s="3">
        <v>304974</v>
      </c>
      <c r="EF124" s="183">
        <v>304937</v>
      </c>
      <c r="EG124" s="130">
        <v>327277</v>
      </c>
      <c r="EH124" s="130"/>
      <c r="EI124" s="130"/>
      <c r="EJ124" s="130">
        <v>3300</v>
      </c>
      <c r="EK124" s="183">
        <v>-23631</v>
      </c>
      <c r="EL124" s="183">
        <v>1913</v>
      </c>
      <c r="EM124" s="183">
        <v>2962</v>
      </c>
      <c r="EN124" s="226">
        <v>-45944</v>
      </c>
      <c r="EO124" s="226">
        <v>1465</v>
      </c>
      <c r="EP124" s="226">
        <v>9642</v>
      </c>
      <c r="EQ124" s="226">
        <v>-44198</v>
      </c>
      <c r="ER124" s="230">
        <v>1556</v>
      </c>
      <c r="ES124" s="230">
        <v>1999</v>
      </c>
      <c r="ET124" s="3">
        <v>20000</v>
      </c>
      <c r="EU124" s="211">
        <v>-809</v>
      </c>
      <c r="EV124" s="183">
        <v>70000</v>
      </c>
      <c r="EW124" s="183">
        <v>15386</v>
      </c>
      <c r="EX124" s="130">
        <v>70000</v>
      </c>
      <c r="EY124" s="183">
        <v>-40194</v>
      </c>
      <c r="EZ124" s="3">
        <v>204647</v>
      </c>
      <c r="FA124" s="3">
        <v>91389</v>
      </c>
      <c r="FB124" s="3">
        <v>113258</v>
      </c>
      <c r="FC124" s="3">
        <v>129756</v>
      </c>
      <c r="FD124" s="226">
        <v>227324</v>
      </c>
      <c r="FE124" s="183">
        <v>132252</v>
      </c>
      <c r="FF124" s="183">
        <v>95072</v>
      </c>
      <c r="FG124" s="183">
        <v>119769</v>
      </c>
      <c r="FH124" s="230">
        <v>227993</v>
      </c>
      <c r="FI124" s="130">
        <v>180750</v>
      </c>
      <c r="FJ124" s="130">
        <v>47243</v>
      </c>
      <c r="FK124" s="130">
        <v>119736</v>
      </c>
      <c r="FL124" s="29">
        <v>6601.645139547999</v>
      </c>
      <c r="FM124" s="139">
        <v>6827.8629842773362</v>
      </c>
      <c r="FN124" s="139">
        <v>6976.3975668162175</v>
      </c>
      <c r="FO124" s="172">
        <f t="shared" si="3"/>
        <v>12155.619047619048</v>
      </c>
      <c r="FP124" s="170">
        <f t="shared" si="4"/>
        <v>167.28990459413515</v>
      </c>
      <c r="FR124" s="175"/>
      <c r="FS124" s="195"/>
      <c r="FV124" s="175">
        <v>21416</v>
      </c>
      <c r="FW124" s="2">
        <f t="shared" si="5"/>
        <v>-21416</v>
      </c>
      <c r="FZ124" s="186"/>
      <c r="GA124" s="2"/>
      <c r="GB124" s="2"/>
    </row>
    <row r="125" spans="1:184" ht="13" x14ac:dyDescent="0.3">
      <c r="A125" s="77">
        <v>408</v>
      </c>
      <c r="B125" s="75" t="s">
        <v>122</v>
      </c>
      <c r="C125" s="179">
        <v>14427</v>
      </c>
      <c r="D125" s="138"/>
      <c r="E125" s="142">
        <v>0.68459056690735909</v>
      </c>
      <c r="F125" s="142">
        <v>79.792956777381619</v>
      </c>
      <c r="G125" s="183">
        <v>-4473.695154917863</v>
      </c>
      <c r="H125" s="144"/>
      <c r="I125" s="186"/>
      <c r="K125" s="210">
        <v>37.836614252799222</v>
      </c>
      <c r="L125" s="143">
        <v>596.10452623553056</v>
      </c>
      <c r="M125" s="146">
        <v>27.848752617197203</v>
      </c>
      <c r="N125" s="143">
        <v>7812.8509045539613</v>
      </c>
      <c r="O125" s="138">
        <v>40728</v>
      </c>
      <c r="P125" s="143">
        <v>12639</v>
      </c>
      <c r="Q125" s="184">
        <v>92199</v>
      </c>
      <c r="R125" s="184">
        <v>-79560</v>
      </c>
      <c r="S125" s="139">
        <v>47777</v>
      </c>
      <c r="T125" s="138">
        <v>35853</v>
      </c>
      <c r="U125" s="151"/>
      <c r="W125" s="183">
        <v>-346</v>
      </c>
      <c r="X125" s="183">
        <v>355</v>
      </c>
      <c r="Y125" s="184">
        <v>4079</v>
      </c>
      <c r="Z125" s="130">
        <v>4994</v>
      </c>
      <c r="AA125" s="130">
        <v>0</v>
      </c>
      <c r="AB125" s="130">
        <v>0</v>
      </c>
      <c r="AC125" s="184">
        <v>-915</v>
      </c>
      <c r="AD125" s="183">
        <v>0</v>
      </c>
      <c r="AE125" s="183">
        <v>0</v>
      </c>
      <c r="AF125" s="183">
        <v>0</v>
      </c>
      <c r="AG125" s="183">
        <v>-915</v>
      </c>
      <c r="AH125" s="183">
        <v>16691</v>
      </c>
      <c r="AI125" s="183">
        <v>3594</v>
      </c>
      <c r="AJ125" s="167"/>
      <c r="AK125" s="183">
        <v>-62</v>
      </c>
      <c r="AL125" s="183">
        <v>-6132</v>
      </c>
      <c r="AM125" s="180">
        <v>-9163</v>
      </c>
      <c r="AN125" s="139">
        <v>47777</v>
      </c>
      <c r="AO125" s="138">
        <v>42420</v>
      </c>
      <c r="AP125" s="184">
        <v>2343</v>
      </c>
      <c r="AQ125" s="138">
        <v>3014</v>
      </c>
      <c r="AR125" s="109">
        <v>21.5</v>
      </c>
      <c r="AS125" s="144"/>
      <c r="AT125" s="139">
        <v>118</v>
      </c>
      <c r="AU125" s="228">
        <v>14278</v>
      </c>
      <c r="AV125" s="138"/>
      <c r="AW125" s="224">
        <v>0.41729581331503091</v>
      </c>
      <c r="AX125" s="225">
        <v>90.994260210492456</v>
      </c>
      <c r="AY125" s="139">
        <v>-5521.0813839473312</v>
      </c>
      <c r="AZ125" s="144"/>
      <c r="BA125"/>
      <c r="BC125" s="189">
        <v>33.177913209486746</v>
      </c>
      <c r="BD125" s="183">
        <v>585.37610309567162</v>
      </c>
      <c r="BE125" s="140">
        <v>25.006926626937613</v>
      </c>
      <c r="BF125" s="139">
        <v>8544.1238268665074</v>
      </c>
      <c r="BG125" s="184">
        <v>42583</v>
      </c>
      <c r="BH125" s="216">
        <v>12799</v>
      </c>
      <c r="BI125" s="216">
        <v>95772</v>
      </c>
      <c r="BJ125" s="216">
        <v>-82820</v>
      </c>
      <c r="BK125" s="216">
        <v>49872</v>
      </c>
      <c r="BL125" s="216">
        <v>36810</v>
      </c>
      <c r="BM125" s="151"/>
      <c r="BO125" s="216">
        <v>-378</v>
      </c>
      <c r="BP125" s="216">
        <v>285</v>
      </c>
      <c r="BQ125" s="216">
        <v>3769</v>
      </c>
      <c r="BR125" s="216">
        <v>5386</v>
      </c>
      <c r="BS125" s="216">
        <v>0</v>
      </c>
      <c r="BT125" s="216">
        <v>0</v>
      </c>
      <c r="BU125" s="216">
        <v>-1617</v>
      </c>
      <c r="BV125" s="183">
        <v>0</v>
      </c>
      <c r="BW125" s="183">
        <v>0</v>
      </c>
      <c r="BX125" s="183">
        <v>0</v>
      </c>
      <c r="BY125" s="183">
        <v>-1617</v>
      </c>
      <c r="BZ125" s="183">
        <v>15074</v>
      </c>
      <c r="CA125" s="183">
        <v>3061</v>
      </c>
      <c r="CB125" s="167"/>
      <c r="CC125" s="183">
        <v>62</v>
      </c>
      <c r="CD125" s="183">
        <v>-7432</v>
      </c>
      <c r="CE125" s="180">
        <v>-13998</v>
      </c>
      <c r="CF125" s="139">
        <v>49872</v>
      </c>
      <c r="CG125" s="216">
        <v>44615</v>
      </c>
      <c r="CH125" s="216">
        <v>2326</v>
      </c>
      <c r="CI125" s="216">
        <v>2931</v>
      </c>
      <c r="CJ125" s="212">
        <v>21.5</v>
      </c>
      <c r="CK125" s="144"/>
      <c r="CL125" s="130">
        <v>102</v>
      </c>
      <c r="CM125" s="228">
        <v>14221</v>
      </c>
      <c r="CN125" s="138"/>
      <c r="CO125" s="142">
        <v>1.1483961931617905</v>
      </c>
      <c r="CP125" s="142">
        <v>85.421589561091338</v>
      </c>
      <c r="CQ125" s="183">
        <v>-5610.8571830391675</v>
      </c>
      <c r="CR125" s="144"/>
      <c r="CS125"/>
      <c r="CU125" s="232">
        <v>35.356012432632809</v>
      </c>
      <c r="CV125" s="143">
        <v>440.40503480767876</v>
      </c>
      <c r="CW125" s="146">
        <v>18.969023831651619</v>
      </c>
      <c r="CX125" s="143">
        <v>8474.2282539905773</v>
      </c>
      <c r="CY125" s="131">
        <v>43185</v>
      </c>
      <c r="CZ125" s="229">
        <v>12140</v>
      </c>
      <c r="DA125" s="229">
        <v>95984</v>
      </c>
      <c r="DB125" s="216">
        <v>-83844</v>
      </c>
      <c r="DC125" s="229">
        <v>50679</v>
      </c>
      <c r="DD125" s="229">
        <v>42767</v>
      </c>
      <c r="DE125" s="151"/>
      <c r="DG125" s="229">
        <v>-375</v>
      </c>
      <c r="DH125" s="229">
        <v>118</v>
      </c>
      <c r="DI125" s="229">
        <v>9345</v>
      </c>
      <c r="DJ125" s="229">
        <v>6134</v>
      </c>
      <c r="DK125" s="229">
        <v>0</v>
      </c>
      <c r="DL125" s="229">
        <v>0</v>
      </c>
      <c r="DM125" s="229">
        <v>3211</v>
      </c>
      <c r="DN125" s="130">
        <v>0</v>
      </c>
      <c r="DO125" s="130">
        <v>0</v>
      </c>
      <c r="DP125" s="130">
        <v>0</v>
      </c>
      <c r="DQ125" s="130">
        <v>3211</v>
      </c>
      <c r="DR125" s="130">
        <v>19485</v>
      </c>
      <c r="DS125" s="130">
        <v>9275</v>
      </c>
      <c r="DT125" s="167"/>
      <c r="DU125" s="183">
        <v>-623</v>
      </c>
      <c r="DV125" s="183">
        <v>-8082</v>
      </c>
      <c r="DW125" s="180">
        <v>-3978</v>
      </c>
      <c r="DX125" s="130">
        <v>50679</v>
      </c>
      <c r="DY125" s="229">
        <v>45582</v>
      </c>
      <c r="DZ125" s="229">
        <v>2323</v>
      </c>
      <c r="EA125" s="229">
        <v>2774</v>
      </c>
      <c r="EB125" s="212">
        <v>21.5</v>
      </c>
      <c r="EC125" s="208"/>
      <c r="ED125" s="183">
        <v>155.76470588235199</v>
      </c>
      <c r="EE125" s="3">
        <v>37559</v>
      </c>
      <c r="EF125" s="183">
        <v>38872</v>
      </c>
      <c r="EG125" s="130">
        <v>39118</v>
      </c>
      <c r="EH125" s="130"/>
      <c r="EI125" s="130"/>
      <c r="EJ125" s="130"/>
      <c r="EK125" s="183">
        <v>-14333</v>
      </c>
      <c r="EL125" s="183">
        <v>148</v>
      </c>
      <c r="EM125" s="183">
        <v>1428</v>
      </c>
      <c r="EN125" s="226">
        <v>-17990</v>
      </c>
      <c r="EO125" s="226">
        <v>82</v>
      </c>
      <c r="EP125" s="226">
        <v>849</v>
      </c>
      <c r="EQ125" s="226">
        <v>-16111</v>
      </c>
      <c r="ER125" s="230">
        <v>96</v>
      </c>
      <c r="ES125" s="230">
        <v>2762</v>
      </c>
      <c r="ET125" s="3">
        <v>14000</v>
      </c>
      <c r="EU125" s="211">
        <v>0</v>
      </c>
      <c r="EV125" s="183">
        <v>18000</v>
      </c>
      <c r="EW125" s="183">
        <v>2000</v>
      </c>
      <c r="EX125" s="130">
        <v>10000</v>
      </c>
      <c r="EY125" s="183">
        <v>1000</v>
      </c>
      <c r="EZ125" s="3">
        <v>55292</v>
      </c>
      <c r="FA125" s="3">
        <v>33259</v>
      </c>
      <c r="FB125" s="3">
        <v>22033</v>
      </c>
      <c r="FC125" s="3">
        <v>1811</v>
      </c>
      <c r="FD125" s="226">
        <v>67858</v>
      </c>
      <c r="FE125" s="183">
        <v>42776</v>
      </c>
      <c r="FF125" s="183">
        <v>25082</v>
      </c>
      <c r="FG125" s="183">
        <v>1748</v>
      </c>
      <c r="FH125" s="230">
        <v>70776</v>
      </c>
      <c r="FI125" s="130">
        <v>44029</v>
      </c>
      <c r="FJ125" s="130">
        <v>26747</v>
      </c>
      <c r="FK125" s="130">
        <v>474</v>
      </c>
      <c r="FL125" s="29">
        <v>7020.5170860192702</v>
      </c>
      <c r="FM125" s="139">
        <v>7877.0836251575847</v>
      </c>
      <c r="FN125" s="139">
        <v>8625.8350326981217</v>
      </c>
      <c r="FO125" s="172">
        <f t="shared" si="3"/>
        <v>2120.0930232558139</v>
      </c>
      <c r="FP125" s="170">
        <f t="shared" si="4"/>
        <v>149.0818524193667</v>
      </c>
      <c r="FR125" s="175"/>
      <c r="FS125" s="195"/>
      <c r="FV125" s="175">
        <v>2937</v>
      </c>
      <c r="FW125" s="2">
        <f t="shared" si="5"/>
        <v>-2937</v>
      </c>
      <c r="FZ125" s="186"/>
      <c r="GA125" s="2"/>
      <c r="GB125" s="2"/>
    </row>
    <row r="126" spans="1:184" ht="13" x14ac:dyDescent="0.3">
      <c r="A126" s="77">
        <v>410</v>
      </c>
      <c r="B126" s="75" t="s">
        <v>123</v>
      </c>
      <c r="C126" s="179">
        <v>18927</v>
      </c>
      <c r="D126" s="138"/>
      <c r="E126" s="142">
        <v>67.222222222222229</v>
      </c>
      <c r="F126" s="142">
        <v>94.297620070452794</v>
      </c>
      <c r="G126" s="183">
        <v>-5512.6538806995295</v>
      </c>
      <c r="H126" s="144"/>
      <c r="I126" s="186"/>
      <c r="K126" s="210">
        <v>25.306050473742395</v>
      </c>
      <c r="L126" s="143">
        <v>71.643683626565235</v>
      </c>
      <c r="M126" s="146">
        <v>4.0187075244196526</v>
      </c>
      <c r="N126" s="143">
        <v>6507.0534157552702</v>
      </c>
      <c r="O126" s="138">
        <v>41046</v>
      </c>
      <c r="P126" s="143">
        <v>13673</v>
      </c>
      <c r="Q126" s="184">
        <v>115842</v>
      </c>
      <c r="R126" s="184">
        <v>-102169</v>
      </c>
      <c r="S126" s="139">
        <v>66130</v>
      </c>
      <c r="T126" s="138">
        <v>36587</v>
      </c>
      <c r="U126" s="151"/>
      <c r="W126" s="183">
        <v>546</v>
      </c>
      <c r="X126" s="183">
        <v>705</v>
      </c>
      <c r="Y126" s="184">
        <v>1799</v>
      </c>
      <c r="Z126" s="130">
        <v>5814</v>
      </c>
      <c r="AA126" s="130">
        <v>0</v>
      </c>
      <c r="AB126" s="130">
        <v>0</v>
      </c>
      <c r="AC126" s="184">
        <v>-4015</v>
      </c>
      <c r="AD126" s="183">
        <v>0</v>
      </c>
      <c r="AE126" s="183">
        <v>0</v>
      </c>
      <c r="AF126" s="184">
        <v>0</v>
      </c>
      <c r="AG126" s="183">
        <v>-4015</v>
      </c>
      <c r="AH126" s="183">
        <v>4941</v>
      </c>
      <c r="AI126" s="183">
        <v>1320</v>
      </c>
      <c r="AJ126" s="167"/>
      <c r="AK126" s="183">
        <v>-292</v>
      </c>
      <c r="AL126" s="183">
        <v>-11</v>
      </c>
      <c r="AM126" s="180">
        <v>-4984</v>
      </c>
      <c r="AN126" s="139">
        <v>66130</v>
      </c>
      <c r="AO126" s="138">
        <v>58865</v>
      </c>
      <c r="AP126" s="184">
        <v>2511</v>
      </c>
      <c r="AQ126" s="138">
        <v>4754</v>
      </c>
      <c r="AR126" s="109">
        <v>21.5</v>
      </c>
      <c r="AS126" s="144"/>
      <c r="AT126" s="139">
        <v>216</v>
      </c>
      <c r="AU126" s="228">
        <v>18903</v>
      </c>
      <c r="AV126" s="138"/>
      <c r="AW126" s="224">
        <v>0.24188863599569552</v>
      </c>
      <c r="AX126" s="225">
        <v>96.078381986247891</v>
      </c>
      <c r="AY126" s="139">
        <v>-5635.560493043432</v>
      </c>
      <c r="AZ126" s="144"/>
      <c r="BA126"/>
      <c r="BC126" s="189">
        <v>22.518594511413184</v>
      </c>
      <c r="BD126" s="183">
        <v>272.07321589165741</v>
      </c>
      <c r="BE126" s="140">
        <v>14.040456547917337</v>
      </c>
      <c r="BF126" s="139">
        <v>7072.8984817224782</v>
      </c>
      <c r="BG126" s="184">
        <v>42742</v>
      </c>
      <c r="BH126" s="216">
        <v>13474</v>
      </c>
      <c r="BI126" s="216">
        <v>116749</v>
      </c>
      <c r="BJ126" s="216">
        <v>-103275</v>
      </c>
      <c r="BK126" s="216">
        <v>67580</v>
      </c>
      <c r="BL126" s="216">
        <v>38055</v>
      </c>
      <c r="BM126" s="151"/>
      <c r="BO126" s="216">
        <v>491</v>
      </c>
      <c r="BP126" s="216">
        <v>309</v>
      </c>
      <c r="BQ126" s="216">
        <v>3160</v>
      </c>
      <c r="BR126" s="216">
        <v>7108</v>
      </c>
      <c r="BS126" s="216">
        <v>0</v>
      </c>
      <c r="BT126" s="216">
        <v>0</v>
      </c>
      <c r="BU126" s="216">
        <v>-3948</v>
      </c>
      <c r="BV126" s="183">
        <v>0</v>
      </c>
      <c r="BW126" s="183">
        <v>0</v>
      </c>
      <c r="BX126" s="184">
        <v>0</v>
      </c>
      <c r="BY126" s="183">
        <v>-3948</v>
      </c>
      <c r="BZ126" s="183">
        <v>993</v>
      </c>
      <c r="CA126" s="183">
        <v>1936</v>
      </c>
      <c r="CB126" s="167"/>
      <c r="CC126" s="183">
        <v>1293</v>
      </c>
      <c r="CD126" s="183">
        <v>-10011</v>
      </c>
      <c r="CE126" s="180">
        <v>-3099</v>
      </c>
      <c r="CF126" s="139">
        <v>67580</v>
      </c>
      <c r="CG126" s="216">
        <v>60024</v>
      </c>
      <c r="CH126" s="216">
        <v>2696</v>
      </c>
      <c r="CI126" s="216">
        <v>4860</v>
      </c>
      <c r="CJ126" s="212">
        <v>21.5</v>
      </c>
      <c r="CK126" s="144"/>
      <c r="CL126" s="130">
        <v>141</v>
      </c>
      <c r="CM126" s="228">
        <v>18823</v>
      </c>
      <c r="CN126" s="138"/>
      <c r="CO126" s="142">
        <v>1.2746292112759061</v>
      </c>
      <c r="CP126" s="142">
        <v>84.588282742194451</v>
      </c>
      <c r="CQ126" s="183">
        <v>-5675.4502470381976</v>
      </c>
      <c r="CR126" s="144"/>
      <c r="CS126"/>
      <c r="CU126" s="232">
        <v>24.906919844689114</v>
      </c>
      <c r="CV126" s="143">
        <v>76.980290070658242</v>
      </c>
      <c r="CW126" s="146">
        <v>3.622797764199797</v>
      </c>
      <c r="CX126" s="143">
        <v>7755.8306327365453</v>
      </c>
      <c r="CY126" s="131">
        <v>43434</v>
      </c>
      <c r="CZ126" s="229">
        <v>13169</v>
      </c>
      <c r="DA126" s="229">
        <v>119166</v>
      </c>
      <c r="DB126" s="216">
        <v>-105997</v>
      </c>
      <c r="DC126" s="229">
        <v>71756</v>
      </c>
      <c r="DD126" s="229">
        <v>46488</v>
      </c>
      <c r="DE126" s="151"/>
      <c r="DG126" s="229">
        <v>281</v>
      </c>
      <c r="DH126" s="229">
        <v>275</v>
      </c>
      <c r="DI126" s="229">
        <v>12803</v>
      </c>
      <c r="DJ126" s="229">
        <v>8705</v>
      </c>
      <c r="DK126" s="229">
        <v>0</v>
      </c>
      <c r="DL126" s="229">
        <v>0</v>
      </c>
      <c r="DM126" s="229">
        <v>4098</v>
      </c>
      <c r="DN126" s="130">
        <v>0</v>
      </c>
      <c r="DO126" s="130">
        <v>0</v>
      </c>
      <c r="DP126" s="131">
        <v>0</v>
      </c>
      <c r="DQ126" s="130">
        <v>4098</v>
      </c>
      <c r="DR126" s="130">
        <v>5091</v>
      </c>
      <c r="DS126" s="130">
        <v>13108</v>
      </c>
      <c r="DT126" s="167"/>
      <c r="DU126" s="183">
        <v>-116</v>
      </c>
      <c r="DV126" s="183">
        <v>-10007</v>
      </c>
      <c r="DW126" s="180">
        <v>-1165</v>
      </c>
      <c r="DX126" s="130">
        <v>71756</v>
      </c>
      <c r="DY126" s="229">
        <v>63721</v>
      </c>
      <c r="DZ126" s="229">
        <v>2857</v>
      </c>
      <c r="EA126" s="229">
        <v>5178</v>
      </c>
      <c r="EB126" s="212">
        <v>21.5</v>
      </c>
      <c r="EC126" s="208"/>
      <c r="ED126" s="183">
        <v>143.67647058823499</v>
      </c>
      <c r="EE126" s="3">
        <v>58244</v>
      </c>
      <c r="EF126" s="183">
        <v>56901</v>
      </c>
      <c r="EG126" s="130">
        <v>57549</v>
      </c>
      <c r="EH126" s="130"/>
      <c r="EI126" s="130"/>
      <c r="EJ126" s="130"/>
      <c r="EK126" s="183">
        <v>-7182</v>
      </c>
      <c r="EL126" s="183">
        <v>3</v>
      </c>
      <c r="EM126" s="183">
        <v>875</v>
      </c>
      <c r="EN126" s="226">
        <v>-6892</v>
      </c>
      <c r="EO126" s="226">
        <v>44</v>
      </c>
      <c r="EP126" s="226">
        <v>1813</v>
      </c>
      <c r="EQ126" s="226">
        <v>-16447</v>
      </c>
      <c r="ER126" s="230">
        <v>674</v>
      </c>
      <c r="ES126" s="230">
        <v>1500</v>
      </c>
      <c r="ET126" s="3">
        <v>0</v>
      </c>
      <c r="EU126" s="211">
        <v>4000</v>
      </c>
      <c r="EV126" s="183">
        <v>0</v>
      </c>
      <c r="EW126" s="183">
        <v>20000</v>
      </c>
      <c r="EX126" s="130">
        <v>34994</v>
      </c>
      <c r="EY126" s="183">
        <v>-29000</v>
      </c>
      <c r="EZ126" s="3">
        <v>88091</v>
      </c>
      <c r="FA126" s="3">
        <v>18080</v>
      </c>
      <c r="FB126" s="3">
        <v>70011</v>
      </c>
      <c r="FC126" s="3">
        <v>22805</v>
      </c>
      <c r="FD126" s="226">
        <v>98080</v>
      </c>
      <c r="FE126" s="183">
        <v>8067</v>
      </c>
      <c r="FF126" s="183">
        <v>90013</v>
      </c>
      <c r="FG126" s="183">
        <v>22003</v>
      </c>
      <c r="FH126" s="230">
        <v>94067</v>
      </c>
      <c r="FI126" s="130">
        <v>33052</v>
      </c>
      <c r="FJ126" s="130">
        <v>61015</v>
      </c>
      <c r="FK126" s="130">
        <v>21230</v>
      </c>
      <c r="FL126" s="29">
        <v>6769.3770803613879</v>
      </c>
      <c r="FM126" s="139">
        <v>7650.1084483944351</v>
      </c>
      <c r="FN126" s="139">
        <v>7827.8170323540344</v>
      </c>
      <c r="FO126" s="172">
        <f t="shared" si="3"/>
        <v>2963.7674418604652</v>
      </c>
      <c r="FP126" s="170">
        <f t="shared" si="4"/>
        <v>157.45457375872419</v>
      </c>
      <c r="FR126" s="175"/>
      <c r="FS126" s="195"/>
      <c r="FV126" s="175">
        <v>63</v>
      </c>
      <c r="FW126" s="2">
        <f t="shared" si="5"/>
        <v>-63</v>
      </c>
      <c r="FZ126" s="186"/>
      <c r="GA126" s="2"/>
      <c r="GB126" s="2"/>
    </row>
    <row r="127" spans="1:184" ht="13" x14ac:dyDescent="0.3">
      <c r="A127" s="77">
        <v>416</v>
      </c>
      <c r="B127" s="75" t="s">
        <v>124</v>
      </c>
      <c r="C127" s="179">
        <v>3043</v>
      </c>
      <c r="D127" s="138"/>
      <c r="E127" s="142">
        <v>-1.5799418604651163</v>
      </c>
      <c r="F127" s="142">
        <v>49.96431904265247</v>
      </c>
      <c r="G127" s="183">
        <v>-2645.0870851133745</v>
      </c>
      <c r="H127" s="144"/>
      <c r="I127" s="186"/>
      <c r="K127" s="210">
        <v>33.804492337835001</v>
      </c>
      <c r="L127" s="143">
        <v>166.61189615511009</v>
      </c>
      <c r="M127" s="146">
        <v>8.7101101383789885</v>
      </c>
      <c r="N127" s="143">
        <v>6981.9257311863294</v>
      </c>
      <c r="O127" s="138">
        <v>4979</v>
      </c>
      <c r="P127" s="143">
        <v>1704</v>
      </c>
      <c r="Q127" s="184">
        <v>19317</v>
      </c>
      <c r="R127" s="184">
        <v>-17613</v>
      </c>
      <c r="S127" s="139">
        <v>10283</v>
      </c>
      <c r="T127" s="138">
        <v>6230</v>
      </c>
      <c r="U127" s="151"/>
      <c r="W127" s="183">
        <v>-20</v>
      </c>
      <c r="X127" s="183">
        <v>10</v>
      </c>
      <c r="Y127" s="184">
        <v>-1110</v>
      </c>
      <c r="Z127" s="130">
        <v>660</v>
      </c>
      <c r="AA127" s="130">
        <v>0</v>
      </c>
      <c r="AB127" s="130">
        <v>0</v>
      </c>
      <c r="AC127" s="184">
        <v>-1770</v>
      </c>
      <c r="AD127" s="183">
        <v>0</v>
      </c>
      <c r="AE127" s="183">
        <v>0</v>
      </c>
      <c r="AF127" s="183">
        <v>0</v>
      </c>
      <c r="AG127" s="183">
        <v>-1770</v>
      </c>
      <c r="AH127" s="183">
        <v>-2206</v>
      </c>
      <c r="AI127" s="183">
        <v>-1647</v>
      </c>
      <c r="AJ127" s="167"/>
      <c r="AK127" s="183">
        <v>330</v>
      </c>
      <c r="AL127" s="183">
        <v>-665</v>
      </c>
      <c r="AM127" s="180">
        <v>-2863</v>
      </c>
      <c r="AN127" s="139">
        <v>10283</v>
      </c>
      <c r="AO127" s="138">
        <v>9046</v>
      </c>
      <c r="AP127" s="184">
        <v>421</v>
      </c>
      <c r="AQ127" s="138">
        <v>816</v>
      </c>
      <c r="AR127" s="109">
        <v>21</v>
      </c>
      <c r="AS127" s="144"/>
      <c r="AT127" s="139">
        <v>290</v>
      </c>
      <c r="AU127" s="228">
        <v>2971</v>
      </c>
      <c r="AV127" s="138"/>
      <c r="AW127" s="224">
        <v>-1.872001872001872E-2</v>
      </c>
      <c r="AX127" s="225">
        <v>48.15090725270047</v>
      </c>
      <c r="AY127" s="139">
        <v>-2891.6189835072364</v>
      </c>
      <c r="AZ127" s="144"/>
      <c r="BA127"/>
      <c r="BC127" s="189">
        <v>30.539406873206271</v>
      </c>
      <c r="BD127" s="183">
        <v>19.522046449007068</v>
      </c>
      <c r="BE127" s="140">
        <v>1.0418307086614174</v>
      </c>
      <c r="BF127" s="139">
        <v>6839.4479973073039</v>
      </c>
      <c r="BG127" s="184">
        <v>5181</v>
      </c>
      <c r="BH127" s="216">
        <v>1775</v>
      </c>
      <c r="BI127" s="216">
        <v>18836</v>
      </c>
      <c r="BJ127" s="216">
        <v>-17061</v>
      </c>
      <c r="BK127" s="216">
        <v>10290</v>
      </c>
      <c r="BL127" s="216">
        <v>6728</v>
      </c>
      <c r="BM127" s="151"/>
      <c r="BO127" s="216">
        <v>-80</v>
      </c>
      <c r="BP127" s="216">
        <v>20</v>
      </c>
      <c r="BQ127" s="216">
        <v>-103</v>
      </c>
      <c r="BR127" s="216">
        <v>579</v>
      </c>
      <c r="BS127" s="216">
        <v>0</v>
      </c>
      <c r="BT127" s="216">
        <v>0</v>
      </c>
      <c r="BU127" s="216">
        <v>-682</v>
      </c>
      <c r="BV127" s="183">
        <v>0</v>
      </c>
      <c r="BW127" s="183">
        <v>0</v>
      </c>
      <c r="BX127" s="183">
        <v>0</v>
      </c>
      <c r="BY127" s="183">
        <v>-682</v>
      </c>
      <c r="BZ127" s="183">
        <v>-2887</v>
      </c>
      <c r="CA127" s="183">
        <v>-294</v>
      </c>
      <c r="CB127" s="167"/>
      <c r="CC127" s="183">
        <v>145</v>
      </c>
      <c r="CD127" s="183">
        <v>-848</v>
      </c>
      <c r="CE127" s="180">
        <v>-501</v>
      </c>
      <c r="CF127" s="139">
        <v>10290</v>
      </c>
      <c r="CG127" s="216">
        <v>9048</v>
      </c>
      <c r="CH127" s="216">
        <v>401</v>
      </c>
      <c r="CI127" s="216">
        <v>841</v>
      </c>
      <c r="CJ127" s="212">
        <v>21</v>
      </c>
      <c r="CK127" s="144"/>
      <c r="CL127" s="130">
        <v>241</v>
      </c>
      <c r="CM127" s="228">
        <v>2964</v>
      </c>
      <c r="CN127" s="138"/>
      <c r="CO127" s="142">
        <v>1.2903533906399236</v>
      </c>
      <c r="CP127" s="142">
        <v>39.422936093345704</v>
      </c>
      <c r="CQ127" s="183">
        <v>-2337.0445344129553</v>
      </c>
      <c r="CR127" s="144"/>
      <c r="CS127"/>
      <c r="CU127" s="232">
        <v>34.60768900957553</v>
      </c>
      <c r="CV127" s="143">
        <v>260.12145748987854</v>
      </c>
      <c r="CW127" s="146">
        <v>13.656281845974668</v>
      </c>
      <c r="CX127" s="143">
        <v>6952.429149797571</v>
      </c>
      <c r="CY127" s="131">
        <v>4714</v>
      </c>
      <c r="CZ127" s="229">
        <v>1726</v>
      </c>
      <c r="DA127" s="229">
        <v>19154</v>
      </c>
      <c r="DB127" s="216">
        <v>-17428</v>
      </c>
      <c r="DC127" s="229">
        <v>10838</v>
      </c>
      <c r="DD127" s="229">
        <v>7920</v>
      </c>
      <c r="DE127" s="151"/>
      <c r="DG127" s="229">
        <v>-83</v>
      </c>
      <c r="DH127" s="229">
        <v>17</v>
      </c>
      <c r="DI127" s="229">
        <v>1264</v>
      </c>
      <c r="DJ127" s="229">
        <v>570</v>
      </c>
      <c r="DK127" s="229">
        <v>0</v>
      </c>
      <c r="DL127" s="229">
        <v>0</v>
      </c>
      <c r="DM127" s="229">
        <v>694</v>
      </c>
      <c r="DN127" s="130">
        <v>0</v>
      </c>
      <c r="DO127" s="130">
        <v>0</v>
      </c>
      <c r="DP127" s="130">
        <v>0</v>
      </c>
      <c r="DQ127" s="130">
        <v>694</v>
      </c>
      <c r="DR127" s="130">
        <v>-2194</v>
      </c>
      <c r="DS127" s="130">
        <v>1664</v>
      </c>
      <c r="DT127" s="167"/>
      <c r="DU127" s="183">
        <v>23</v>
      </c>
      <c r="DV127" s="183">
        <v>-960</v>
      </c>
      <c r="DW127" s="180">
        <v>1581</v>
      </c>
      <c r="DX127" s="130">
        <v>10838</v>
      </c>
      <c r="DY127" s="229">
        <v>9537</v>
      </c>
      <c r="DZ127" s="229">
        <v>458</v>
      </c>
      <c r="EA127" s="229">
        <v>843</v>
      </c>
      <c r="EB127" s="212">
        <v>22</v>
      </c>
      <c r="EC127" s="208"/>
      <c r="ED127" s="183">
        <v>248.441176470588</v>
      </c>
      <c r="EE127" s="3">
        <v>12907</v>
      </c>
      <c r="EF127" s="183">
        <v>12354</v>
      </c>
      <c r="EG127" s="130">
        <v>12530</v>
      </c>
      <c r="EH127" s="130"/>
      <c r="EI127" s="130">
        <v>420</v>
      </c>
      <c r="EJ127" s="130">
        <v>410</v>
      </c>
      <c r="EK127" s="183">
        <v>-1232</v>
      </c>
      <c r="EL127" s="183">
        <v>0</v>
      </c>
      <c r="EM127" s="183">
        <v>16</v>
      </c>
      <c r="EN127" s="226">
        <v>-551</v>
      </c>
      <c r="EO127" s="226">
        <v>28</v>
      </c>
      <c r="EP127" s="226">
        <v>316</v>
      </c>
      <c r="EQ127" s="226">
        <v>-406</v>
      </c>
      <c r="ER127" s="230">
        <v>14</v>
      </c>
      <c r="ES127" s="230">
        <v>309</v>
      </c>
      <c r="ET127" s="3">
        <v>1540</v>
      </c>
      <c r="EU127" s="211">
        <v>15</v>
      </c>
      <c r="EV127" s="183">
        <v>2875</v>
      </c>
      <c r="EW127" s="183">
        <v>96</v>
      </c>
      <c r="EX127" s="130">
        <v>0</v>
      </c>
      <c r="EY127" s="183">
        <v>-96</v>
      </c>
      <c r="EZ127" s="3">
        <v>5476</v>
      </c>
      <c r="FA127" s="3">
        <v>4672</v>
      </c>
      <c r="FB127" s="3">
        <v>804</v>
      </c>
      <c r="FC127" s="3">
        <v>582</v>
      </c>
      <c r="FD127" s="226">
        <v>7599</v>
      </c>
      <c r="FE127" s="183">
        <v>6543</v>
      </c>
      <c r="FF127" s="183">
        <v>1056</v>
      </c>
      <c r="FG127" s="183">
        <v>582</v>
      </c>
      <c r="FH127" s="230">
        <v>6543</v>
      </c>
      <c r="FI127" s="130">
        <v>5573</v>
      </c>
      <c r="FJ127" s="130">
        <v>970</v>
      </c>
      <c r="FK127" s="130">
        <v>582</v>
      </c>
      <c r="FL127" s="29">
        <v>3712.4548143279658</v>
      </c>
      <c r="FM127" s="139">
        <v>4331.5382026253792</v>
      </c>
      <c r="FN127" s="139">
        <v>3970.9851551956813</v>
      </c>
      <c r="FO127" s="172">
        <f t="shared" si="3"/>
        <v>433.5</v>
      </c>
      <c r="FP127" s="170">
        <f t="shared" si="4"/>
        <v>146.25506072874495</v>
      </c>
      <c r="FR127" s="175"/>
      <c r="FS127" s="195"/>
      <c r="FV127" s="175">
        <v>110</v>
      </c>
      <c r="FW127" s="2">
        <f t="shared" si="5"/>
        <v>-110</v>
      </c>
      <c r="FZ127" s="186"/>
      <c r="GA127" s="2"/>
      <c r="GB127" s="2"/>
    </row>
    <row r="128" spans="1:184" ht="13" x14ac:dyDescent="0.3">
      <c r="A128" s="77">
        <v>418</v>
      </c>
      <c r="B128" s="75" t="s">
        <v>125</v>
      </c>
      <c r="C128" s="179">
        <v>23206</v>
      </c>
      <c r="D128" s="138"/>
      <c r="E128" s="142">
        <v>0.74991489844547832</v>
      </c>
      <c r="F128" s="142">
        <v>71.342231713828085</v>
      </c>
      <c r="G128" s="183">
        <v>-3809.7474791002328</v>
      </c>
      <c r="H128" s="144"/>
      <c r="I128" s="186"/>
      <c r="K128" s="210">
        <v>37.260329964328179</v>
      </c>
      <c r="L128" s="143">
        <v>209.04076531931398</v>
      </c>
      <c r="M128" s="146">
        <v>10.989417825223436</v>
      </c>
      <c r="N128" s="143">
        <v>6943.0319744893559</v>
      </c>
      <c r="O128" s="138">
        <v>60075</v>
      </c>
      <c r="P128" s="143">
        <v>26532</v>
      </c>
      <c r="Q128" s="184">
        <v>134865</v>
      </c>
      <c r="R128" s="184">
        <v>-108333</v>
      </c>
      <c r="S128" s="139">
        <v>91950</v>
      </c>
      <c r="T128" s="138">
        <v>22293</v>
      </c>
      <c r="U128" s="151"/>
      <c r="W128" s="183">
        <v>-428</v>
      </c>
      <c r="X128" s="183">
        <v>692</v>
      </c>
      <c r="Y128" s="184">
        <v>6174</v>
      </c>
      <c r="Z128" s="130">
        <v>10740</v>
      </c>
      <c r="AA128" s="130">
        <v>0</v>
      </c>
      <c r="AB128" s="130">
        <v>0</v>
      </c>
      <c r="AC128" s="184">
        <v>-4566</v>
      </c>
      <c r="AD128" s="184">
        <v>-298</v>
      </c>
      <c r="AE128" s="183">
        <v>412</v>
      </c>
      <c r="AF128" s="183">
        <v>0</v>
      </c>
      <c r="AG128" s="183">
        <v>-4452</v>
      </c>
      <c r="AH128" s="183">
        <v>11820</v>
      </c>
      <c r="AI128" s="183">
        <v>4848</v>
      </c>
      <c r="AJ128" s="167"/>
      <c r="AK128" s="183">
        <v>-1690</v>
      </c>
      <c r="AL128" s="183">
        <v>-8378</v>
      </c>
      <c r="AM128" s="180">
        <v>-9565</v>
      </c>
      <c r="AN128" s="139">
        <v>91950</v>
      </c>
      <c r="AO128" s="138">
        <v>82103</v>
      </c>
      <c r="AP128" s="184">
        <v>4275</v>
      </c>
      <c r="AQ128" s="138">
        <v>5572</v>
      </c>
      <c r="AR128" s="109">
        <v>20.5</v>
      </c>
      <c r="AS128" s="144"/>
      <c r="AT128" s="139">
        <v>131</v>
      </c>
      <c r="AU128" s="228">
        <v>23523</v>
      </c>
      <c r="AV128" s="138"/>
      <c r="AW128" s="224">
        <v>0.7053510476290501</v>
      </c>
      <c r="AX128" s="225">
        <v>71.488701517706573</v>
      </c>
      <c r="AY128" s="139">
        <v>-3877.694171661778</v>
      </c>
      <c r="AZ128" s="144"/>
      <c r="BA128"/>
      <c r="BC128" s="189">
        <v>43.688937291854096</v>
      </c>
      <c r="BD128" s="183">
        <v>108.36202865280789</v>
      </c>
      <c r="BE128" s="140">
        <v>4.2601411217392497</v>
      </c>
      <c r="BF128" s="139">
        <v>9284.2324533435367</v>
      </c>
      <c r="BG128" s="184">
        <v>62968</v>
      </c>
      <c r="BH128" s="216">
        <v>27419</v>
      </c>
      <c r="BI128" s="216">
        <v>140848</v>
      </c>
      <c r="BJ128" s="216">
        <v>-113149</v>
      </c>
      <c r="BK128" s="216">
        <v>97179</v>
      </c>
      <c r="BL128" s="216">
        <v>23652</v>
      </c>
      <c r="BM128" s="151"/>
      <c r="BO128" s="216">
        <v>-326</v>
      </c>
      <c r="BP128" s="216">
        <v>706</v>
      </c>
      <c r="BQ128" s="216">
        <v>8062</v>
      </c>
      <c r="BR128" s="216">
        <v>10828</v>
      </c>
      <c r="BS128" s="216">
        <v>25640</v>
      </c>
      <c r="BT128" s="216">
        <v>0</v>
      </c>
      <c r="BU128" s="216">
        <v>22874</v>
      </c>
      <c r="BV128" s="184">
        <v>-469</v>
      </c>
      <c r="BW128" s="183">
        <v>-13818</v>
      </c>
      <c r="BX128" s="183">
        <v>0</v>
      </c>
      <c r="BY128" s="183">
        <v>8587</v>
      </c>
      <c r="BZ128" s="183">
        <v>20408</v>
      </c>
      <c r="CA128" s="183">
        <v>5984</v>
      </c>
      <c r="CB128" s="167"/>
      <c r="CC128" s="183">
        <v>-5260</v>
      </c>
      <c r="CD128" s="183">
        <v>-14786</v>
      </c>
      <c r="CE128" s="180">
        <v>27237</v>
      </c>
      <c r="CF128" s="139">
        <v>97179</v>
      </c>
      <c r="CG128" s="216">
        <v>87219</v>
      </c>
      <c r="CH128" s="216">
        <v>4091</v>
      </c>
      <c r="CI128" s="216">
        <v>5869</v>
      </c>
      <c r="CJ128" s="212">
        <v>20.5</v>
      </c>
      <c r="CK128" s="144"/>
      <c r="CL128" s="130">
        <v>76</v>
      </c>
      <c r="CM128" s="228">
        <v>23828</v>
      </c>
      <c r="CN128" s="138"/>
      <c r="CO128" s="142">
        <v>1.6150100561024663</v>
      </c>
      <c r="CP128" s="142">
        <v>73.774824241802222</v>
      </c>
      <c r="CQ128" s="183">
        <v>-3782.2729561859996</v>
      </c>
      <c r="CR128" s="144"/>
      <c r="CS128"/>
      <c r="CU128" s="232">
        <v>43.509366194098497</v>
      </c>
      <c r="CV128" s="143">
        <v>560.01342957864699</v>
      </c>
      <c r="CW128" s="146">
        <v>29.206478655337214</v>
      </c>
      <c r="CX128" s="143">
        <v>6998.6150747020311</v>
      </c>
      <c r="CY128" s="131">
        <v>61112</v>
      </c>
      <c r="CZ128" s="229">
        <v>19864</v>
      </c>
      <c r="DA128" s="229">
        <v>141639</v>
      </c>
      <c r="DB128" s="216">
        <v>-121775</v>
      </c>
      <c r="DC128" s="229">
        <v>102520</v>
      </c>
      <c r="DD128" s="229">
        <v>33512</v>
      </c>
      <c r="DE128" s="151"/>
      <c r="DG128" s="229">
        <v>-47</v>
      </c>
      <c r="DH128" s="229">
        <v>678</v>
      </c>
      <c r="DI128" s="229">
        <v>14888</v>
      </c>
      <c r="DJ128" s="229">
        <v>8529</v>
      </c>
      <c r="DK128" s="229">
        <v>0</v>
      </c>
      <c r="DL128" s="229">
        <v>0</v>
      </c>
      <c r="DM128" s="229">
        <v>6359</v>
      </c>
      <c r="DN128" s="131">
        <v>1273</v>
      </c>
      <c r="DO128" s="130">
        <v>-1006</v>
      </c>
      <c r="DP128" s="130">
        <v>0</v>
      </c>
      <c r="DQ128" s="130">
        <v>6626</v>
      </c>
      <c r="DR128" s="130">
        <v>27034</v>
      </c>
      <c r="DS128" s="130">
        <v>12607</v>
      </c>
      <c r="DT128" s="167"/>
      <c r="DU128" s="183">
        <v>675</v>
      </c>
      <c r="DV128" s="183">
        <v>-9078</v>
      </c>
      <c r="DW128" s="180">
        <v>962</v>
      </c>
      <c r="DX128" s="130">
        <v>102520</v>
      </c>
      <c r="DY128" s="229">
        <v>92572</v>
      </c>
      <c r="DZ128" s="229">
        <v>4756</v>
      </c>
      <c r="EA128" s="229">
        <v>5192</v>
      </c>
      <c r="EB128" s="212">
        <v>20.5</v>
      </c>
      <c r="EC128" s="208"/>
      <c r="ED128" s="183">
        <v>173.89705882352899</v>
      </c>
      <c r="EE128" s="3">
        <v>56153</v>
      </c>
      <c r="EF128" s="183">
        <v>57607</v>
      </c>
      <c r="EG128" s="130">
        <v>60422</v>
      </c>
      <c r="EH128" s="130"/>
      <c r="EI128" s="130"/>
      <c r="EJ128" s="130"/>
      <c r="EK128" s="183">
        <v>-17674</v>
      </c>
      <c r="EL128" s="183">
        <v>1134</v>
      </c>
      <c r="EM128" s="183">
        <v>2127</v>
      </c>
      <c r="EN128" s="226">
        <v>-32792</v>
      </c>
      <c r="EO128" s="226">
        <v>1899</v>
      </c>
      <c r="EP128" s="226">
        <v>52146</v>
      </c>
      <c r="EQ128" s="226">
        <v>-15665</v>
      </c>
      <c r="ER128" s="230">
        <v>1138</v>
      </c>
      <c r="ES128" s="230">
        <v>2882</v>
      </c>
      <c r="ET128" s="3">
        <v>8500</v>
      </c>
      <c r="EU128" s="211">
        <v>5000</v>
      </c>
      <c r="EV128" s="183">
        <v>18000</v>
      </c>
      <c r="EW128" s="183">
        <v>8500</v>
      </c>
      <c r="EX128" s="130">
        <v>12000</v>
      </c>
      <c r="EY128" s="183">
        <v>4586</v>
      </c>
      <c r="EZ128" s="3">
        <v>75113</v>
      </c>
      <c r="FA128" s="3">
        <v>58910</v>
      </c>
      <c r="FB128" s="3">
        <v>16203</v>
      </c>
      <c r="FC128" s="3">
        <v>397</v>
      </c>
      <c r="FD128" s="226">
        <v>86827</v>
      </c>
      <c r="FE128" s="183">
        <v>62199</v>
      </c>
      <c r="FF128" s="183">
        <v>24628</v>
      </c>
      <c r="FG128" s="183">
        <v>30261</v>
      </c>
      <c r="FH128" s="230">
        <v>90749</v>
      </c>
      <c r="FI128" s="130">
        <v>61696</v>
      </c>
      <c r="FJ128" s="130">
        <v>29053</v>
      </c>
      <c r="FK128" s="130">
        <v>30261</v>
      </c>
      <c r="FL128" s="29">
        <v>5556.2354563474964</v>
      </c>
      <c r="FM128" s="139">
        <v>6563.7461208179229</v>
      </c>
      <c r="FN128" s="139">
        <v>7067.8613396004703</v>
      </c>
      <c r="FO128" s="172">
        <f t="shared" si="3"/>
        <v>4515.707317073171</v>
      </c>
      <c r="FP128" s="170">
        <f t="shared" si="4"/>
        <v>189.51264550416195</v>
      </c>
      <c r="FR128" s="175"/>
      <c r="FS128" s="195"/>
      <c r="FV128" s="175">
        <v>5084</v>
      </c>
      <c r="FW128" s="2">
        <f t="shared" si="5"/>
        <v>-5084</v>
      </c>
      <c r="FZ128" s="186"/>
      <c r="GA128" s="2"/>
      <c r="GB128" s="2"/>
    </row>
    <row r="129" spans="1:184" ht="13" x14ac:dyDescent="0.3">
      <c r="A129" s="77">
        <v>420</v>
      </c>
      <c r="B129" s="75" t="s">
        <v>126</v>
      </c>
      <c r="C129" s="179">
        <v>9650</v>
      </c>
      <c r="D129" s="138"/>
      <c r="E129" s="142">
        <v>1.4938539407086044</v>
      </c>
      <c r="F129" s="142">
        <v>25.443675358785715</v>
      </c>
      <c r="G129" s="183">
        <v>-1151.6062176165801</v>
      </c>
      <c r="H129" s="144"/>
      <c r="I129" s="186"/>
      <c r="K129" s="210">
        <v>73.87093500355212</v>
      </c>
      <c r="L129" s="143">
        <v>395.23316062176167</v>
      </c>
      <c r="M129" s="146">
        <v>18.2629286595125</v>
      </c>
      <c r="N129" s="143">
        <v>7899.0673575129531</v>
      </c>
      <c r="O129" s="138">
        <v>20894</v>
      </c>
      <c r="P129" s="143">
        <v>9432</v>
      </c>
      <c r="Q129" s="184">
        <v>67492</v>
      </c>
      <c r="R129" s="184">
        <v>-58060</v>
      </c>
      <c r="S129" s="139">
        <v>34685</v>
      </c>
      <c r="T129" s="138">
        <v>24798</v>
      </c>
      <c r="U129" s="151"/>
      <c r="W129" s="183">
        <v>-86</v>
      </c>
      <c r="X129" s="183">
        <v>609</v>
      </c>
      <c r="Y129" s="184">
        <v>1946</v>
      </c>
      <c r="Z129" s="130">
        <v>3414</v>
      </c>
      <c r="AA129" s="130">
        <v>0</v>
      </c>
      <c r="AB129" s="130">
        <v>0</v>
      </c>
      <c r="AC129" s="184">
        <v>-1468</v>
      </c>
      <c r="AD129" s="184">
        <v>-724</v>
      </c>
      <c r="AE129" s="184">
        <v>820</v>
      </c>
      <c r="AF129" s="183">
        <v>13</v>
      </c>
      <c r="AG129" s="183">
        <v>-1359</v>
      </c>
      <c r="AH129" s="183">
        <v>4175</v>
      </c>
      <c r="AI129" s="183">
        <v>1863</v>
      </c>
      <c r="AJ129" s="167"/>
      <c r="AK129" s="183">
        <v>-99</v>
      </c>
      <c r="AL129" s="183">
        <v>-1263</v>
      </c>
      <c r="AM129" s="180">
        <v>-4192</v>
      </c>
      <c r="AN129" s="139">
        <v>34685</v>
      </c>
      <c r="AO129" s="138">
        <v>29588</v>
      </c>
      <c r="AP129" s="184">
        <v>2598</v>
      </c>
      <c r="AQ129" s="138">
        <v>2499</v>
      </c>
      <c r="AR129" s="109">
        <v>21</v>
      </c>
      <c r="AS129" s="144"/>
      <c r="AT129" s="139">
        <v>170</v>
      </c>
      <c r="AU129" s="228">
        <v>9454</v>
      </c>
      <c r="AV129" s="138"/>
      <c r="AW129" s="224">
        <v>0.42406876790830944</v>
      </c>
      <c r="AX129" s="225">
        <v>27.397459799580517</v>
      </c>
      <c r="AY129" s="139">
        <v>-1418.2356674423525</v>
      </c>
      <c r="AZ129" s="144"/>
      <c r="BA129"/>
      <c r="BC129" s="189">
        <v>70.262113260284565</v>
      </c>
      <c r="BD129" s="183">
        <v>336.5771102178972</v>
      </c>
      <c r="BE129" s="140">
        <v>15.832572215330506</v>
      </c>
      <c r="BF129" s="139">
        <v>7759.3611169875185</v>
      </c>
      <c r="BG129" s="184">
        <v>21161</v>
      </c>
      <c r="BH129" s="216">
        <v>9898</v>
      </c>
      <c r="BI129" s="216">
        <v>68705</v>
      </c>
      <c r="BJ129" s="216">
        <v>-58802</v>
      </c>
      <c r="BK129" s="216">
        <v>34789</v>
      </c>
      <c r="BL129" s="216">
        <v>23969</v>
      </c>
      <c r="BM129" s="151"/>
      <c r="BO129" s="216">
        <v>-71</v>
      </c>
      <c r="BP129" s="216">
        <v>750</v>
      </c>
      <c r="BQ129" s="216">
        <v>635</v>
      </c>
      <c r="BR129" s="216">
        <v>3902</v>
      </c>
      <c r="BS129" s="216">
        <v>0</v>
      </c>
      <c r="BT129" s="216">
        <v>426</v>
      </c>
      <c r="BU129" s="216">
        <v>-3693</v>
      </c>
      <c r="BV129" s="184">
        <v>-342</v>
      </c>
      <c r="BW129" s="184">
        <v>580</v>
      </c>
      <c r="BX129" s="183">
        <v>0</v>
      </c>
      <c r="BY129" s="183">
        <v>-3455</v>
      </c>
      <c r="BZ129" s="183">
        <v>721</v>
      </c>
      <c r="CA129" s="183">
        <v>783</v>
      </c>
      <c r="CB129" s="167"/>
      <c r="CC129" s="183">
        <v>387</v>
      </c>
      <c r="CD129" s="183">
        <v>-1083</v>
      </c>
      <c r="CE129" s="180">
        <v>-2444</v>
      </c>
      <c r="CF129" s="139">
        <v>34789</v>
      </c>
      <c r="CG129" s="216">
        <v>29588</v>
      </c>
      <c r="CH129" s="216">
        <v>2627</v>
      </c>
      <c r="CI129" s="216">
        <v>2574</v>
      </c>
      <c r="CJ129" s="212">
        <v>21</v>
      </c>
      <c r="CK129" s="144"/>
      <c r="CL129" s="130">
        <v>201</v>
      </c>
      <c r="CM129" s="228">
        <v>9402</v>
      </c>
      <c r="CN129" s="138"/>
      <c r="CO129" s="142">
        <v>5.5267857142857144</v>
      </c>
      <c r="CP129" s="142">
        <v>24.707002039428961</v>
      </c>
      <c r="CQ129" s="183">
        <v>-1032.0144650074453</v>
      </c>
      <c r="CR129" s="144"/>
      <c r="CS129"/>
      <c r="CU129" s="232">
        <v>71.159443607482928</v>
      </c>
      <c r="CV129" s="143">
        <v>675.92001701765582</v>
      </c>
      <c r="CW129" s="146">
        <v>32.149787245838475</v>
      </c>
      <c r="CX129" s="143">
        <v>7673.792810040417</v>
      </c>
      <c r="CY129" s="131">
        <v>20891</v>
      </c>
      <c r="CZ129" s="229">
        <v>9585</v>
      </c>
      <c r="DA129" s="229">
        <v>68119</v>
      </c>
      <c r="DB129" s="216">
        <v>-58534</v>
      </c>
      <c r="DC129" s="229">
        <v>35500</v>
      </c>
      <c r="DD129" s="229">
        <v>28470</v>
      </c>
      <c r="DE129" s="151"/>
      <c r="DG129" s="229">
        <v>-49</v>
      </c>
      <c r="DH129" s="229">
        <v>716</v>
      </c>
      <c r="DI129" s="229">
        <v>6103</v>
      </c>
      <c r="DJ129" s="229">
        <v>4709</v>
      </c>
      <c r="DK129" s="229">
        <v>0</v>
      </c>
      <c r="DL129" s="229">
        <v>0</v>
      </c>
      <c r="DM129" s="229">
        <v>1394</v>
      </c>
      <c r="DN129" s="131">
        <v>253</v>
      </c>
      <c r="DO129" s="131">
        <v>-1240</v>
      </c>
      <c r="DP129" s="130">
        <v>0</v>
      </c>
      <c r="DQ129" s="130">
        <v>407</v>
      </c>
      <c r="DR129" s="130">
        <v>1127</v>
      </c>
      <c r="DS129" s="130">
        <v>5676</v>
      </c>
      <c r="DT129" s="167"/>
      <c r="DU129" s="183">
        <v>107</v>
      </c>
      <c r="DV129" s="183">
        <v>-1033</v>
      </c>
      <c r="DW129" s="180">
        <v>3395</v>
      </c>
      <c r="DX129" s="130">
        <v>35500</v>
      </c>
      <c r="DY129" s="229">
        <v>30016</v>
      </c>
      <c r="DZ129" s="229">
        <v>3144</v>
      </c>
      <c r="EA129" s="229">
        <v>2340</v>
      </c>
      <c r="EB129" s="212">
        <v>21</v>
      </c>
      <c r="EC129" s="208"/>
      <c r="ED129" s="183">
        <v>159.79411764705799</v>
      </c>
      <c r="EE129" s="3">
        <v>39250</v>
      </c>
      <c r="EF129" s="183">
        <v>39148</v>
      </c>
      <c r="EG129" s="130">
        <v>38050</v>
      </c>
      <c r="EH129" s="130"/>
      <c r="EI129" s="130"/>
      <c r="EJ129" s="130"/>
      <c r="EK129" s="183">
        <v>-7232</v>
      </c>
      <c r="EL129" s="183">
        <v>1065</v>
      </c>
      <c r="EM129" s="183">
        <v>112</v>
      </c>
      <c r="EN129" s="226">
        <v>-3422</v>
      </c>
      <c r="EO129" s="226">
        <v>117</v>
      </c>
      <c r="EP129" s="226">
        <v>78</v>
      </c>
      <c r="EQ129" s="226">
        <v>-2459</v>
      </c>
      <c r="ER129" s="230">
        <v>-6</v>
      </c>
      <c r="ES129" s="230">
        <v>184</v>
      </c>
      <c r="ET129" s="3">
        <v>1792</v>
      </c>
      <c r="EU129" s="211">
        <v>0</v>
      </c>
      <c r="EV129" s="183">
        <v>0</v>
      </c>
      <c r="EW129" s="183">
        <v>3000</v>
      </c>
      <c r="EX129" s="130">
        <v>0</v>
      </c>
      <c r="EY129" s="183">
        <v>1000</v>
      </c>
      <c r="EZ129" s="3">
        <v>8565</v>
      </c>
      <c r="FA129" s="3">
        <v>7482</v>
      </c>
      <c r="FB129" s="3">
        <v>1083</v>
      </c>
      <c r="FC129" s="3">
        <v>4761</v>
      </c>
      <c r="FD129" s="226">
        <v>10483</v>
      </c>
      <c r="FE129" s="183">
        <v>6450</v>
      </c>
      <c r="FF129" s="183">
        <v>4033</v>
      </c>
      <c r="FG129" s="183">
        <v>4715</v>
      </c>
      <c r="FH129" s="230">
        <v>10450</v>
      </c>
      <c r="FI129" s="130">
        <v>5517</v>
      </c>
      <c r="FJ129" s="130">
        <v>4933</v>
      </c>
      <c r="FK129" s="130">
        <v>5165</v>
      </c>
      <c r="FL129" s="29">
        <v>3760.6217616580311</v>
      </c>
      <c r="FM129" s="139">
        <v>4038.1848952824198</v>
      </c>
      <c r="FN129" s="139">
        <v>4110.189321420974</v>
      </c>
      <c r="FO129" s="172">
        <f t="shared" si="3"/>
        <v>1429.3333333333333</v>
      </c>
      <c r="FP129" s="170">
        <f t="shared" si="4"/>
        <v>152.02439197333899</v>
      </c>
      <c r="FR129" s="175"/>
      <c r="FS129" s="195"/>
      <c r="FV129" s="175">
        <v>611</v>
      </c>
      <c r="FW129" s="2">
        <f t="shared" si="5"/>
        <v>-611</v>
      </c>
      <c r="FZ129" s="186"/>
      <c r="GA129" s="2"/>
      <c r="GB129" s="2"/>
    </row>
    <row r="130" spans="1:184" ht="13" x14ac:dyDescent="0.3">
      <c r="A130" s="77">
        <v>421</v>
      </c>
      <c r="B130" s="75" t="s">
        <v>127</v>
      </c>
      <c r="C130" s="179">
        <v>737</v>
      </c>
      <c r="D130" s="138"/>
      <c r="E130" s="142">
        <v>-2.5842696629213484</v>
      </c>
      <c r="F130" s="142">
        <v>39.730917078528279</v>
      </c>
      <c r="G130" s="183">
        <v>-2831.7503392130257</v>
      </c>
      <c r="H130" s="144"/>
      <c r="I130" s="186"/>
      <c r="K130" s="210">
        <v>69.975108898568763</v>
      </c>
      <c r="L130" s="143">
        <v>483.03934871099051</v>
      </c>
      <c r="M130" s="146">
        <v>16.431461810824484</v>
      </c>
      <c r="N130" s="143">
        <v>10729.986431478968</v>
      </c>
      <c r="O130" s="138">
        <v>2290</v>
      </c>
      <c r="P130" s="143">
        <v>1899</v>
      </c>
      <c r="Q130" s="184">
        <v>7516</v>
      </c>
      <c r="R130" s="184">
        <v>-5617</v>
      </c>
      <c r="S130" s="139">
        <v>2420</v>
      </c>
      <c r="T130" s="138">
        <v>2965</v>
      </c>
      <c r="U130" s="151"/>
      <c r="W130" s="183">
        <v>-22</v>
      </c>
      <c r="X130" s="183">
        <v>-1</v>
      </c>
      <c r="Y130" s="184">
        <v>-255</v>
      </c>
      <c r="Z130" s="130">
        <v>309</v>
      </c>
      <c r="AA130" s="131">
        <v>0</v>
      </c>
      <c r="AB130" s="130">
        <v>0</v>
      </c>
      <c r="AC130" s="184">
        <v>-564</v>
      </c>
      <c r="AD130" s="183">
        <v>0</v>
      </c>
      <c r="AE130" s="183">
        <v>0</v>
      </c>
      <c r="AF130" s="183">
        <v>0</v>
      </c>
      <c r="AG130" s="183">
        <v>-564</v>
      </c>
      <c r="AH130" s="183">
        <v>1068</v>
      </c>
      <c r="AI130" s="183">
        <v>-395</v>
      </c>
      <c r="AJ130" s="167"/>
      <c r="AK130" s="183">
        <v>272</v>
      </c>
      <c r="AL130" s="183">
        <v>-64</v>
      </c>
      <c r="AM130" s="180">
        <v>-695</v>
      </c>
      <c r="AN130" s="139">
        <v>2420</v>
      </c>
      <c r="AO130" s="138">
        <v>1763</v>
      </c>
      <c r="AP130" s="184">
        <v>384</v>
      </c>
      <c r="AQ130" s="138">
        <v>273</v>
      </c>
      <c r="AR130" s="109">
        <v>21</v>
      </c>
      <c r="AS130" s="144"/>
      <c r="AT130" s="139">
        <v>289</v>
      </c>
      <c r="AU130" s="228">
        <v>719</v>
      </c>
      <c r="AV130" s="138"/>
      <c r="AW130" s="224">
        <v>-0.36493044322225815</v>
      </c>
      <c r="AX130" s="225">
        <v>52.72</v>
      </c>
      <c r="AY130" s="139">
        <v>-3713.4909596662033</v>
      </c>
      <c r="AZ130" s="144"/>
      <c r="BA130"/>
      <c r="BC130" s="189">
        <v>58.628619211874152</v>
      </c>
      <c r="BD130" s="183">
        <v>1155.7719054242004</v>
      </c>
      <c r="BE130" s="140">
        <v>37.367869902673398</v>
      </c>
      <c r="BF130" s="139">
        <v>11289.290681502087</v>
      </c>
      <c r="BG130" s="184">
        <v>2326</v>
      </c>
      <c r="BH130" s="216">
        <v>2012</v>
      </c>
      <c r="BI130" s="216">
        <v>7642</v>
      </c>
      <c r="BJ130" s="216">
        <v>-5630</v>
      </c>
      <c r="BK130" s="216">
        <v>2381</v>
      </c>
      <c r="BL130" s="216">
        <v>3107</v>
      </c>
      <c r="BM130" s="151"/>
      <c r="BO130" s="216">
        <v>-23</v>
      </c>
      <c r="BP130" s="216">
        <v>-1</v>
      </c>
      <c r="BQ130" s="216">
        <v>-166</v>
      </c>
      <c r="BR130" s="216">
        <v>502</v>
      </c>
      <c r="BS130" s="216">
        <v>0</v>
      </c>
      <c r="BT130" s="216">
        <v>0</v>
      </c>
      <c r="BU130" s="216">
        <v>-668</v>
      </c>
      <c r="BV130" s="183">
        <v>0</v>
      </c>
      <c r="BW130" s="183">
        <v>0</v>
      </c>
      <c r="BX130" s="183">
        <v>0</v>
      </c>
      <c r="BY130" s="183">
        <v>-668</v>
      </c>
      <c r="BZ130" s="183">
        <v>400</v>
      </c>
      <c r="CA130" s="183">
        <v>-166</v>
      </c>
      <c r="CB130" s="167"/>
      <c r="CC130" s="183">
        <v>16</v>
      </c>
      <c r="CD130" s="183">
        <v>-4</v>
      </c>
      <c r="CE130" s="180">
        <v>-584</v>
      </c>
      <c r="CF130" s="139">
        <v>2381</v>
      </c>
      <c r="CG130" s="216">
        <v>1728</v>
      </c>
      <c r="CH130" s="216">
        <v>381</v>
      </c>
      <c r="CI130" s="216">
        <v>272</v>
      </c>
      <c r="CJ130" s="212">
        <v>21</v>
      </c>
      <c r="CK130" s="144"/>
      <c r="CL130" s="130">
        <v>273</v>
      </c>
      <c r="CM130" s="228">
        <v>722</v>
      </c>
      <c r="CN130" s="138"/>
      <c r="CO130" s="142">
        <v>6</v>
      </c>
      <c r="CP130" s="142">
        <v>103.84948632256467</v>
      </c>
      <c r="CQ130" s="183">
        <v>-9164.8199445983373</v>
      </c>
      <c r="CR130" s="144"/>
      <c r="CS130"/>
      <c r="CU130" s="232">
        <v>39.424117774410043</v>
      </c>
      <c r="CV130" s="143">
        <v>965.3739612188366</v>
      </c>
      <c r="CW130" s="146">
        <v>21.121212121212121</v>
      </c>
      <c r="CX130" s="143">
        <v>16682.825484764544</v>
      </c>
      <c r="CY130" s="131">
        <v>2841</v>
      </c>
      <c r="CZ130" s="229">
        <v>2316</v>
      </c>
      <c r="DA130" s="229">
        <v>7879</v>
      </c>
      <c r="DB130" s="216">
        <v>-5563</v>
      </c>
      <c r="DC130" s="229">
        <v>2541</v>
      </c>
      <c r="DD130" s="229">
        <v>3222</v>
      </c>
      <c r="DE130" s="151"/>
      <c r="DG130" s="229">
        <v>-17</v>
      </c>
      <c r="DH130" s="229">
        <v>2</v>
      </c>
      <c r="DI130" s="229">
        <v>185</v>
      </c>
      <c r="DJ130" s="229">
        <v>329</v>
      </c>
      <c r="DK130" s="229">
        <v>0</v>
      </c>
      <c r="DL130" s="229">
        <v>0</v>
      </c>
      <c r="DM130" s="229">
        <v>-144</v>
      </c>
      <c r="DN130" s="130">
        <v>0</v>
      </c>
      <c r="DO130" s="130">
        <v>0</v>
      </c>
      <c r="DP130" s="130">
        <v>0</v>
      </c>
      <c r="DQ130" s="130">
        <v>-144</v>
      </c>
      <c r="DR130" s="130">
        <v>254</v>
      </c>
      <c r="DS130" s="130">
        <v>185</v>
      </c>
      <c r="DT130" s="167"/>
      <c r="DU130" s="183">
        <v>-640</v>
      </c>
      <c r="DV130" s="183">
        <v>-10</v>
      </c>
      <c r="DW130" s="180">
        <v>-3946</v>
      </c>
      <c r="DX130" s="130">
        <v>2541</v>
      </c>
      <c r="DY130" s="229">
        <v>1853</v>
      </c>
      <c r="DZ130" s="229">
        <v>443</v>
      </c>
      <c r="EA130" s="229">
        <v>245</v>
      </c>
      <c r="EB130" s="212">
        <v>21</v>
      </c>
      <c r="EC130" s="208"/>
      <c r="ED130" s="183">
        <v>280.67647058823502</v>
      </c>
      <c r="EE130" s="3">
        <v>4400</v>
      </c>
      <c r="EF130" s="183">
        <v>4554</v>
      </c>
      <c r="EG130" s="130">
        <v>4226</v>
      </c>
      <c r="EH130" s="130"/>
      <c r="EI130" s="130">
        <v>110</v>
      </c>
      <c r="EJ130" s="130"/>
      <c r="EK130" s="183">
        <v>-300</v>
      </c>
      <c r="EL130" s="183">
        <v>0</v>
      </c>
      <c r="EM130" s="183">
        <v>0</v>
      </c>
      <c r="EN130" s="226">
        <v>-429</v>
      </c>
      <c r="EO130" s="226">
        <v>0</v>
      </c>
      <c r="EP130" s="226">
        <v>11</v>
      </c>
      <c r="EQ130" s="226">
        <v>-4131</v>
      </c>
      <c r="ER130" s="230">
        <v>0</v>
      </c>
      <c r="ES130" s="230">
        <v>0</v>
      </c>
      <c r="ET130" s="3">
        <v>0</v>
      </c>
      <c r="EU130" s="211">
        <v>0</v>
      </c>
      <c r="EV130" s="183">
        <v>902</v>
      </c>
      <c r="EW130" s="183">
        <v>-10</v>
      </c>
      <c r="EX130" s="130">
        <v>3791</v>
      </c>
      <c r="EY130" s="183">
        <v>-6</v>
      </c>
      <c r="EZ130" s="3">
        <v>1774</v>
      </c>
      <c r="FA130" s="3">
        <v>1760</v>
      </c>
      <c r="FB130" s="3">
        <v>14</v>
      </c>
      <c r="FC130" s="3">
        <v>461</v>
      </c>
      <c r="FD130" s="226">
        <v>2662</v>
      </c>
      <c r="FE130" s="183">
        <v>2646</v>
      </c>
      <c r="FF130" s="183">
        <v>16</v>
      </c>
      <c r="FG130" s="183">
        <v>461</v>
      </c>
      <c r="FH130" s="230">
        <v>6436</v>
      </c>
      <c r="FI130" s="130">
        <v>6418</v>
      </c>
      <c r="FJ130" s="130">
        <v>18</v>
      </c>
      <c r="FK130" s="130">
        <v>461</v>
      </c>
      <c r="FL130" s="29">
        <v>5358.2089552238804</v>
      </c>
      <c r="FM130" s="139">
        <v>7070.9318497913764</v>
      </c>
      <c r="FN130" s="139">
        <v>12333.795013850417</v>
      </c>
      <c r="FO130" s="172">
        <f t="shared" si="3"/>
        <v>88.238095238095241</v>
      </c>
      <c r="FP130" s="170">
        <f t="shared" si="4"/>
        <v>122.21342830761112</v>
      </c>
      <c r="FR130" s="175"/>
      <c r="FS130" s="195"/>
      <c r="FV130" s="175">
        <v>502</v>
      </c>
      <c r="FW130" s="2">
        <f t="shared" si="5"/>
        <v>-502</v>
      </c>
      <c r="FZ130" s="186"/>
      <c r="GA130" s="2"/>
      <c r="GB130" s="2"/>
    </row>
    <row r="131" spans="1:184" ht="13" x14ac:dyDescent="0.3">
      <c r="A131" s="77">
        <v>422</v>
      </c>
      <c r="B131" s="75" t="s">
        <v>128</v>
      </c>
      <c r="C131" s="179">
        <v>11098</v>
      </c>
      <c r="D131" s="138"/>
      <c r="E131" s="142">
        <v>2.6246808510638298</v>
      </c>
      <c r="F131" s="142">
        <v>15.954569404601605</v>
      </c>
      <c r="G131" s="183">
        <v>538.47540097314823</v>
      </c>
      <c r="H131" s="144"/>
      <c r="I131" s="186"/>
      <c r="K131" s="210">
        <v>81.45041537905847</v>
      </c>
      <c r="L131" s="143">
        <v>622.45449630564065</v>
      </c>
      <c r="M131" s="146">
        <v>29.503750248651432</v>
      </c>
      <c r="N131" s="143">
        <v>7700.57668048297</v>
      </c>
      <c r="O131" s="138">
        <v>16024</v>
      </c>
      <c r="P131" s="143">
        <v>10453</v>
      </c>
      <c r="Q131" s="184">
        <v>80894</v>
      </c>
      <c r="R131" s="184">
        <v>-70441</v>
      </c>
      <c r="S131" s="139">
        <v>38545</v>
      </c>
      <c r="T131" s="138">
        <v>37374</v>
      </c>
      <c r="U131" s="151"/>
      <c r="W131" s="183">
        <v>5</v>
      </c>
      <c r="X131" s="183">
        <v>542</v>
      </c>
      <c r="Y131" s="184">
        <v>6025</v>
      </c>
      <c r="Z131" s="130">
        <v>3421</v>
      </c>
      <c r="AA131" s="130">
        <v>0</v>
      </c>
      <c r="AB131" s="130">
        <v>0</v>
      </c>
      <c r="AC131" s="184">
        <v>2604</v>
      </c>
      <c r="AD131" s="183">
        <v>94</v>
      </c>
      <c r="AE131" s="183">
        <v>-1000</v>
      </c>
      <c r="AF131" s="184">
        <v>0</v>
      </c>
      <c r="AG131" s="183">
        <v>1698</v>
      </c>
      <c r="AH131" s="183">
        <v>17878</v>
      </c>
      <c r="AI131" s="183">
        <v>6020</v>
      </c>
      <c r="AJ131" s="167"/>
      <c r="AK131" s="183">
        <v>-5286</v>
      </c>
      <c r="AL131" s="183">
        <v>-2207</v>
      </c>
      <c r="AM131" s="180">
        <v>3847</v>
      </c>
      <c r="AN131" s="139">
        <v>38545</v>
      </c>
      <c r="AO131" s="138">
        <v>30785</v>
      </c>
      <c r="AP131" s="184">
        <v>4483</v>
      </c>
      <c r="AQ131" s="138">
        <v>3277</v>
      </c>
      <c r="AR131" s="109">
        <v>21</v>
      </c>
      <c r="AS131" s="144"/>
      <c r="AT131" s="139">
        <v>35</v>
      </c>
      <c r="AU131" s="228">
        <v>10884</v>
      </c>
      <c r="AV131" s="138"/>
      <c r="AW131" s="224">
        <v>3.6865327625946658</v>
      </c>
      <c r="AX131" s="225">
        <v>17.182689718947898</v>
      </c>
      <c r="AY131" s="139">
        <v>657.01947813303934</v>
      </c>
      <c r="AZ131" s="144"/>
      <c r="BA131"/>
      <c r="BC131" s="189">
        <v>80.592384006674749</v>
      </c>
      <c r="BD131" s="183">
        <v>658.58140389562664</v>
      </c>
      <c r="BE131" s="140">
        <v>29.959006068933927</v>
      </c>
      <c r="BF131" s="139">
        <v>8023.7045203969128</v>
      </c>
      <c r="BG131" s="184">
        <v>16191</v>
      </c>
      <c r="BH131" s="216">
        <v>9645</v>
      </c>
      <c r="BI131" s="216">
        <v>83296</v>
      </c>
      <c r="BJ131" s="216">
        <v>-70868</v>
      </c>
      <c r="BK131" s="216">
        <v>38548</v>
      </c>
      <c r="BL131" s="216">
        <v>37236</v>
      </c>
      <c r="BM131" s="151"/>
      <c r="BO131" s="216">
        <v>20</v>
      </c>
      <c r="BP131" s="216">
        <v>547</v>
      </c>
      <c r="BQ131" s="216">
        <v>5483</v>
      </c>
      <c r="BR131" s="216">
        <v>4549</v>
      </c>
      <c r="BS131" s="216">
        <v>0</v>
      </c>
      <c r="BT131" s="216">
        <v>0</v>
      </c>
      <c r="BU131" s="216">
        <v>934</v>
      </c>
      <c r="BV131" s="183">
        <v>95</v>
      </c>
      <c r="BW131" s="183">
        <v>0</v>
      </c>
      <c r="BX131" s="184">
        <v>0</v>
      </c>
      <c r="BY131" s="183">
        <v>1029</v>
      </c>
      <c r="BZ131" s="183">
        <v>18907</v>
      </c>
      <c r="CA131" s="183">
        <v>5449</v>
      </c>
      <c r="CB131" s="167"/>
      <c r="CC131" s="183">
        <v>-1966</v>
      </c>
      <c r="CD131" s="183">
        <v>-2383</v>
      </c>
      <c r="CE131" s="180">
        <v>1186</v>
      </c>
      <c r="CF131" s="139">
        <v>38548</v>
      </c>
      <c r="CG131" s="216">
        <v>31086</v>
      </c>
      <c r="CH131" s="216">
        <v>4257</v>
      </c>
      <c r="CI131" s="216">
        <v>3205</v>
      </c>
      <c r="CJ131" s="212">
        <v>21</v>
      </c>
      <c r="CK131" s="144"/>
      <c r="CL131" s="130">
        <v>31</v>
      </c>
      <c r="CM131" s="228">
        <v>10719</v>
      </c>
      <c r="CN131" s="138"/>
      <c r="CO131" s="142">
        <v>4.1010180109631946</v>
      </c>
      <c r="CP131" s="142">
        <v>14.9432918395574</v>
      </c>
      <c r="CQ131" s="183">
        <v>784.21494542401342</v>
      </c>
      <c r="CR131" s="144"/>
      <c r="CS131"/>
      <c r="CU131" s="232">
        <v>81.612720465070453</v>
      </c>
      <c r="CV131" s="143">
        <v>803.71303293217647</v>
      </c>
      <c r="CW131" s="146">
        <v>33.827563578467235</v>
      </c>
      <c r="CX131" s="143">
        <v>8672.0776191808945</v>
      </c>
      <c r="CY131" s="131">
        <v>15697</v>
      </c>
      <c r="CZ131" s="229">
        <v>17195</v>
      </c>
      <c r="DA131" s="229">
        <v>88277</v>
      </c>
      <c r="DB131" s="216">
        <v>-71082</v>
      </c>
      <c r="DC131" s="229">
        <v>39429</v>
      </c>
      <c r="DD131" s="229">
        <v>41434</v>
      </c>
      <c r="DE131" s="151"/>
      <c r="DG131" s="229">
        <v>46</v>
      </c>
      <c r="DH131" s="229">
        <v>551</v>
      </c>
      <c r="DI131" s="229">
        <v>10378</v>
      </c>
      <c r="DJ131" s="229">
        <v>5043</v>
      </c>
      <c r="DK131" s="229">
        <v>0</v>
      </c>
      <c r="DL131" s="229">
        <v>0</v>
      </c>
      <c r="DM131" s="229">
        <v>5335</v>
      </c>
      <c r="DN131" s="130">
        <v>-6897</v>
      </c>
      <c r="DO131" s="130">
        <v>7000</v>
      </c>
      <c r="DP131" s="131">
        <v>0</v>
      </c>
      <c r="DQ131" s="130">
        <v>5438</v>
      </c>
      <c r="DR131" s="130">
        <v>23454</v>
      </c>
      <c r="DS131" s="130">
        <v>11573</v>
      </c>
      <c r="DT131" s="167"/>
      <c r="DU131" s="183">
        <v>1366</v>
      </c>
      <c r="DV131" s="183">
        <v>-2458</v>
      </c>
      <c r="DW131" s="180">
        <v>1868</v>
      </c>
      <c r="DX131" s="130">
        <v>39429</v>
      </c>
      <c r="DY131" s="229">
        <v>31798</v>
      </c>
      <c r="DZ131" s="229">
        <v>4644</v>
      </c>
      <c r="EA131" s="229">
        <v>2987</v>
      </c>
      <c r="EB131" s="212">
        <v>21</v>
      </c>
      <c r="EC131" s="208"/>
      <c r="ED131" s="183">
        <v>44.955882352941202</v>
      </c>
      <c r="EE131" s="3">
        <v>59644</v>
      </c>
      <c r="EF131" s="183">
        <v>62546</v>
      </c>
      <c r="EG131" s="130">
        <v>68114</v>
      </c>
      <c r="EH131" s="130"/>
      <c r="EI131" s="130"/>
      <c r="EJ131" s="130"/>
      <c r="EK131" s="183">
        <v>-3164</v>
      </c>
      <c r="EL131" s="183">
        <v>959</v>
      </c>
      <c r="EM131" s="183">
        <v>32</v>
      </c>
      <c r="EN131" s="226">
        <v>-4318</v>
      </c>
      <c r="EO131" s="226">
        <v>3</v>
      </c>
      <c r="EP131" s="226">
        <v>52</v>
      </c>
      <c r="EQ131" s="226">
        <v>-9807</v>
      </c>
      <c r="ER131" s="230">
        <v>0</v>
      </c>
      <c r="ES131" s="230">
        <v>102</v>
      </c>
      <c r="ET131" s="3">
        <v>0</v>
      </c>
      <c r="EU131" s="211">
        <v>39</v>
      </c>
      <c r="EV131" s="183">
        <v>3500</v>
      </c>
      <c r="EW131" s="183">
        <v>14</v>
      </c>
      <c r="EX131" s="130">
        <v>0</v>
      </c>
      <c r="EY131" s="183">
        <v>-35</v>
      </c>
      <c r="EZ131" s="3">
        <v>8255</v>
      </c>
      <c r="FA131" s="3">
        <v>6008</v>
      </c>
      <c r="FB131" s="3">
        <v>2247</v>
      </c>
      <c r="FC131" s="3">
        <v>458</v>
      </c>
      <c r="FD131" s="226">
        <v>9385</v>
      </c>
      <c r="FE131" s="183">
        <v>6875</v>
      </c>
      <c r="FF131" s="183">
        <v>2510</v>
      </c>
      <c r="FG131" s="183">
        <v>458</v>
      </c>
      <c r="FH131" s="230">
        <v>6893</v>
      </c>
      <c r="FI131" s="130">
        <v>4725</v>
      </c>
      <c r="FJ131" s="130">
        <v>2168</v>
      </c>
      <c r="FK131" s="130">
        <v>270</v>
      </c>
      <c r="FL131" s="29">
        <v>3370.3369976572353</v>
      </c>
      <c r="FM131" s="139">
        <v>3434.4909959573683</v>
      </c>
      <c r="FN131" s="139">
        <v>3587.368224647822</v>
      </c>
      <c r="FO131" s="172">
        <f t="shared" ref="FO131:FO194" si="6">(DY131/EB131)</f>
        <v>1514.1904761904761</v>
      </c>
      <c r="FP131" s="170">
        <f t="shared" ref="FP131:FP194" si="7">(FO131/CM131)*1000</f>
        <v>141.26228903726803</v>
      </c>
      <c r="FR131" s="175"/>
      <c r="FS131" s="195"/>
      <c r="FV131" s="175">
        <v>1317</v>
      </c>
      <c r="FW131" s="2">
        <f t="shared" ref="FW131:FW194" si="8">FV131*-1</f>
        <v>-1317</v>
      </c>
      <c r="FZ131" s="186"/>
      <c r="GA131" s="2"/>
      <c r="GB131" s="2"/>
    </row>
    <row r="132" spans="1:184" ht="13" x14ac:dyDescent="0.3">
      <c r="A132" s="77">
        <v>423</v>
      </c>
      <c r="B132" s="75" t="s">
        <v>129</v>
      </c>
      <c r="C132" s="179">
        <v>19831</v>
      </c>
      <c r="D132" s="138"/>
      <c r="E132" s="142">
        <v>0.87127957262783007</v>
      </c>
      <c r="F132" s="142">
        <v>75.751015786318519</v>
      </c>
      <c r="G132" s="183">
        <v>-4037.5170188089351</v>
      </c>
      <c r="H132" s="144"/>
      <c r="I132" s="186"/>
      <c r="K132" s="210">
        <v>28.027578408430575</v>
      </c>
      <c r="L132" s="143">
        <v>309.76753567646614</v>
      </c>
      <c r="M132" s="146">
        <v>16.90678700959878</v>
      </c>
      <c r="N132" s="143">
        <v>6687.5598809944031</v>
      </c>
      <c r="O132" s="138">
        <v>53860</v>
      </c>
      <c r="P132" s="143">
        <v>25246</v>
      </c>
      <c r="Q132" s="184">
        <v>116839</v>
      </c>
      <c r="R132" s="184">
        <v>-91593</v>
      </c>
      <c r="S132" s="139">
        <v>75125</v>
      </c>
      <c r="T132" s="138">
        <v>19733</v>
      </c>
      <c r="U132" s="151"/>
      <c r="W132" s="183">
        <v>-428</v>
      </c>
      <c r="X132" s="183">
        <v>124</v>
      </c>
      <c r="Y132" s="184">
        <v>2961</v>
      </c>
      <c r="Z132" s="130">
        <v>7580</v>
      </c>
      <c r="AA132" s="130">
        <v>0</v>
      </c>
      <c r="AB132" s="130">
        <v>0</v>
      </c>
      <c r="AC132" s="184">
        <v>-4619</v>
      </c>
      <c r="AD132" s="183">
        <v>95</v>
      </c>
      <c r="AE132" s="183">
        <v>0</v>
      </c>
      <c r="AF132" s="183">
        <v>0</v>
      </c>
      <c r="AG132" s="183">
        <v>-4524</v>
      </c>
      <c r="AH132" s="183">
        <v>3992</v>
      </c>
      <c r="AI132" s="183">
        <v>-553</v>
      </c>
      <c r="AJ132" s="167"/>
      <c r="AK132" s="183">
        <v>903</v>
      </c>
      <c r="AL132" s="183">
        <v>-3467</v>
      </c>
      <c r="AM132" s="180">
        <v>-7576</v>
      </c>
      <c r="AN132" s="139">
        <v>75125</v>
      </c>
      <c r="AO132" s="138">
        <v>67828</v>
      </c>
      <c r="AP132" s="184">
        <v>3640</v>
      </c>
      <c r="AQ132" s="138">
        <v>3657</v>
      </c>
      <c r="AR132" s="109">
        <v>19.5</v>
      </c>
      <c r="AS132" s="144"/>
      <c r="AT132" s="139">
        <v>197</v>
      </c>
      <c r="AU132" s="228">
        <v>19994</v>
      </c>
      <c r="AV132" s="138"/>
      <c r="AW132" s="224">
        <v>0.56183279357082883</v>
      </c>
      <c r="AX132" s="225">
        <v>78.860807670194589</v>
      </c>
      <c r="AY132" s="139">
        <v>-4200.0600180054016</v>
      </c>
      <c r="AZ132" s="144"/>
      <c r="BA132"/>
      <c r="BC132" s="189">
        <v>25.316311062698528</v>
      </c>
      <c r="BD132" s="183">
        <v>379.01370411123338</v>
      </c>
      <c r="BE132" s="140">
        <v>21.126531422810181</v>
      </c>
      <c r="BF132" s="139">
        <v>6548.1644493348003</v>
      </c>
      <c r="BG132" s="184">
        <v>55046</v>
      </c>
      <c r="BH132" s="216">
        <v>23417</v>
      </c>
      <c r="BI132" s="216">
        <v>117810</v>
      </c>
      <c r="BJ132" s="216">
        <v>-94393</v>
      </c>
      <c r="BK132" s="216">
        <v>79437</v>
      </c>
      <c r="BL132" s="216">
        <v>20637</v>
      </c>
      <c r="BM132" s="151"/>
      <c r="BO132" s="216">
        <v>-453</v>
      </c>
      <c r="BP132" s="216">
        <v>135</v>
      </c>
      <c r="BQ132" s="216">
        <v>5363</v>
      </c>
      <c r="BR132" s="216">
        <v>7820</v>
      </c>
      <c r="BS132" s="216">
        <v>0</v>
      </c>
      <c r="BT132" s="216">
        <v>0</v>
      </c>
      <c r="BU132" s="216">
        <v>-2457</v>
      </c>
      <c r="BV132" s="183">
        <v>5</v>
      </c>
      <c r="BW132" s="183">
        <v>0</v>
      </c>
      <c r="BX132" s="183">
        <v>0</v>
      </c>
      <c r="BY132" s="183">
        <v>-2452</v>
      </c>
      <c r="BZ132" s="183">
        <v>1540</v>
      </c>
      <c r="CA132" s="183">
        <v>3175</v>
      </c>
      <c r="CB132" s="167"/>
      <c r="CC132" s="183">
        <v>-1062</v>
      </c>
      <c r="CD132" s="183">
        <v>-2441</v>
      </c>
      <c r="CE132" s="180">
        <v>-4130</v>
      </c>
      <c r="CF132" s="139">
        <v>79437</v>
      </c>
      <c r="CG132" s="216">
        <v>71842</v>
      </c>
      <c r="CH132" s="216">
        <v>3850</v>
      </c>
      <c r="CI132" s="216">
        <v>3745</v>
      </c>
      <c r="CJ132" s="212">
        <v>19.5</v>
      </c>
      <c r="CK132" s="144"/>
      <c r="CL132" s="130">
        <v>99</v>
      </c>
      <c r="CM132" s="228">
        <v>20146</v>
      </c>
      <c r="CN132" s="138"/>
      <c r="CO132" s="142">
        <v>5.2961496941345807</v>
      </c>
      <c r="CP132" s="142">
        <v>71.06354525101051</v>
      </c>
      <c r="CQ132" s="183">
        <v>-4005.1623150997716</v>
      </c>
      <c r="CR132" s="144"/>
      <c r="CS132"/>
      <c r="CU132" s="232">
        <v>29.707267386073426</v>
      </c>
      <c r="CV132" s="143">
        <v>373.92038121711505</v>
      </c>
      <c r="CW132" s="146">
        <v>20.622412396495861</v>
      </c>
      <c r="CX132" s="143">
        <v>6618.0879579072771</v>
      </c>
      <c r="CY132" s="131">
        <v>54490</v>
      </c>
      <c r="CZ132" s="229">
        <v>21974</v>
      </c>
      <c r="DA132" s="229">
        <v>118534</v>
      </c>
      <c r="DB132" s="216">
        <v>-96560</v>
      </c>
      <c r="DC132" s="229">
        <v>82718</v>
      </c>
      <c r="DD132" s="229">
        <v>28410</v>
      </c>
      <c r="DE132" s="151"/>
      <c r="DG132" s="229">
        <v>-305</v>
      </c>
      <c r="DH132" s="229">
        <v>117</v>
      </c>
      <c r="DI132" s="229">
        <v>14380</v>
      </c>
      <c r="DJ132" s="229">
        <v>7367</v>
      </c>
      <c r="DK132" s="229">
        <v>0</v>
      </c>
      <c r="DL132" s="229">
        <v>0</v>
      </c>
      <c r="DM132" s="229">
        <v>7013</v>
      </c>
      <c r="DN132" s="130">
        <v>5</v>
      </c>
      <c r="DO132" s="130">
        <v>0</v>
      </c>
      <c r="DP132" s="130">
        <v>0</v>
      </c>
      <c r="DQ132" s="130">
        <v>7018</v>
      </c>
      <c r="DR132" s="130">
        <v>8558</v>
      </c>
      <c r="DS132" s="130">
        <v>12525</v>
      </c>
      <c r="DT132" s="167"/>
      <c r="DU132" s="183">
        <v>-534</v>
      </c>
      <c r="DV132" s="183">
        <v>-2441</v>
      </c>
      <c r="DW132" s="180">
        <v>3288</v>
      </c>
      <c r="DX132" s="130">
        <v>82718</v>
      </c>
      <c r="DY132" s="229">
        <v>74945</v>
      </c>
      <c r="DZ132" s="229">
        <v>3879</v>
      </c>
      <c r="EA132" s="229">
        <v>3894</v>
      </c>
      <c r="EB132" s="212">
        <v>19.5</v>
      </c>
      <c r="EC132" s="208"/>
      <c r="ED132" s="183">
        <v>128.566176470588</v>
      </c>
      <c r="EE132" s="3">
        <v>45440</v>
      </c>
      <c r="EF132" s="183">
        <v>45926</v>
      </c>
      <c r="EG132" s="130">
        <v>47057</v>
      </c>
      <c r="EH132" s="130"/>
      <c r="EI132" s="130"/>
      <c r="EJ132" s="130"/>
      <c r="EK132" s="183">
        <v>-11847</v>
      </c>
      <c r="EL132" s="183">
        <v>104</v>
      </c>
      <c r="EM132" s="183">
        <v>4720</v>
      </c>
      <c r="EN132" s="226">
        <v>-10175</v>
      </c>
      <c r="EO132" s="226">
        <v>19</v>
      </c>
      <c r="EP132" s="226">
        <v>2851</v>
      </c>
      <c r="EQ132" s="226">
        <v>-12005</v>
      </c>
      <c r="ER132" s="230">
        <v>514</v>
      </c>
      <c r="ES132" s="230">
        <v>2254</v>
      </c>
      <c r="ET132" s="3">
        <v>0</v>
      </c>
      <c r="EU132" s="211">
        <v>12500</v>
      </c>
      <c r="EV132" s="183">
        <v>12500</v>
      </c>
      <c r="EW132" s="183">
        <v>-5500</v>
      </c>
      <c r="EX132" s="130">
        <v>0</v>
      </c>
      <c r="EY132" s="183">
        <v>0</v>
      </c>
      <c r="EZ132" s="3">
        <v>69233</v>
      </c>
      <c r="FA132" s="3">
        <v>27290</v>
      </c>
      <c r="FB132" s="3">
        <v>41943</v>
      </c>
      <c r="FC132" s="3">
        <v>513</v>
      </c>
      <c r="FD132" s="226">
        <v>73792</v>
      </c>
      <c r="FE132" s="183">
        <v>37351</v>
      </c>
      <c r="FF132" s="183">
        <v>36441</v>
      </c>
      <c r="FG132" s="183">
        <v>490</v>
      </c>
      <c r="FH132" s="230">
        <v>71351</v>
      </c>
      <c r="FI132" s="130">
        <v>34916</v>
      </c>
      <c r="FJ132" s="130">
        <v>36435</v>
      </c>
      <c r="FK132" s="130">
        <v>472</v>
      </c>
      <c r="FL132" s="29">
        <v>4463.2645857495836</v>
      </c>
      <c r="FM132" s="139">
        <v>4640.892267680304</v>
      </c>
      <c r="FN132" s="139">
        <v>4612.5285416459847</v>
      </c>
      <c r="FO132" s="172">
        <f t="shared" si="6"/>
        <v>3843.3333333333335</v>
      </c>
      <c r="FP132" s="170">
        <f t="shared" si="7"/>
        <v>190.77401634733116</v>
      </c>
      <c r="FR132" s="175"/>
      <c r="FS132" s="195"/>
      <c r="FV132" s="175">
        <v>2603</v>
      </c>
      <c r="FW132" s="2">
        <f t="shared" si="8"/>
        <v>-2603</v>
      </c>
      <c r="FZ132" s="186"/>
      <c r="GA132" s="2"/>
      <c r="GB132" s="2"/>
    </row>
    <row r="133" spans="1:184" ht="13" x14ac:dyDescent="0.3">
      <c r="A133" s="77">
        <v>425</v>
      </c>
      <c r="B133" s="75" t="s">
        <v>130</v>
      </c>
      <c r="C133" s="179">
        <v>10161</v>
      </c>
      <c r="D133" s="138"/>
      <c r="E133" s="142">
        <v>2.193877551020408</v>
      </c>
      <c r="F133" s="142">
        <v>58.828157541537465</v>
      </c>
      <c r="G133" s="183">
        <v>-3059.1477216809371</v>
      </c>
      <c r="H133" s="144"/>
      <c r="I133" s="186"/>
      <c r="K133" s="210">
        <v>55.603718768158046</v>
      </c>
      <c r="L133" s="143">
        <v>378.01397500246037</v>
      </c>
      <c r="M133" s="146">
        <v>17.306500592534071</v>
      </c>
      <c r="N133" s="143">
        <v>7972.4436571203614</v>
      </c>
      <c r="O133" s="138">
        <v>28824</v>
      </c>
      <c r="P133" s="143">
        <v>8536</v>
      </c>
      <c r="Q133" s="184">
        <v>59258</v>
      </c>
      <c r="R133" s="184">
        <v>-50722</v>
      </c>
      <c r="S133" s="139">
        <v>32098</v>
      </c>
      <c r="T133" s="138">
        <v>24187</v>
      </c>
      <c r="U133" s="151"/>
      <c r="W133" s="183">
        <v>-143</v>
      </c>
      <c r="X133" s="183">
        <v>22</v>
      </c>
      <c r="Y133" s="184">
        <v>5442</v>
      </c>
      <c r="Z133" s="130">
        <v>3812</v>
      </c>
      <c r="AA133" s="130">
        <v>0</v>
      </c>
      <c r="AB133" s="130">
        <v>0</v>
      </c>
      <c r="AC133" s="184">
        <v>1630</v>
      </c>
      <c r="AD133" s="183">
        <v>-3599</v>
      </c>
      <c r="AE133" s="183">
        <v>2078</v>
      </c>
      <c r="AF133" s="183">
        <v>0</v>
      </c>
      <c r="AG133" s="183">
        <v>109</v>
      </c>
      <c r="AH133" s="183">
        <v>8264</v>
      </c>
      <c r="AI133" s="183">
        <v>4802</v>
      </c>
      <c r="AJ133" s="167"/>
      <c r="AK133" s="183">
        <v>-724</v>
      </c>
      <c r="AL133" s="183">
        <v>-2400</v>
      </c>
      <c r="AM133" s="180">
        <v>-11831</v>
      </c>
      <c r="AN133" s="139">
        <v>32098</v>
      </c>
      <c r="AO133" s="138">
        <v>30159</v>
      </c>
      <c r="AP133" s="184">
        <v>684</v>
      </c>
      <c r="AQ133" s="138">
        <v>1255</v>
      </c>
      <c r="AR133" s="109">
        <v>21.5</v>
      </c>
      <c r="AS133" s="144"/>
      <c r="AT133" s="139">
        <v>37</v>
      </c>
      <c r="AU133" s="228">
        <v>10191</v>
      </c>
      <c r="AV133" s="138"/>
      <c r="AW133" s="224">
        <v>0.87526287784731549</v>
      </c>
      <c r="AX133" s="225">
        <v>66.983369356388081</v>
      </c>
      <c r="AY133" s="139">
        <v>-3435.5804140908645</v>
      </c>
      <c r="AZ133" s="144"/>
      <c r="BA133"/>
      <c r="BC133" s="189">
        <v>51.547039762444051</v>
      </c>
      <c r="BD133" s="183">
        <v>661.17162201942892</v>
      </c>
      <c r="BE133" s="140">
        <v>32.913599743047563</v>
      </c>
      <c r="BF133" s="139">
        <v>7332.1558237660684</v>
      </c>
      <c r="BG133" s="184">
        <v>29655</v>
      </c>
      <c r="BH133" s="216">
        <v>8283</v>
      </c>
      <c r="BI133" s="216">
        <v>62337</v>
      </c>
      <c r="BJ133" s="216">
        <v>-54054</v>
      </c>
      <c r="BK133" s="216">
        <v>33743</v>
      </c>
      <c r="BL133" s="216">
        <v>24598</v>
      </c>
      <c r="BM133" s="151"/>
      <c r="BO133" s="216">
        <v>-164</v>
      </c>
      <c r="BP133" s="216">
        <v>26</v>
      </c>
      <c r="BQ133" s="216">
        <v>4149</v>
      </c>
      <c r="BR133" s="216">
        <v>4830</v>
      </c>
      <c r="BS133" s="216">
        <v>0</v>
      </c>
      <c r="BT133" s="216">
        <v>0</v>
      </c>
      <c r="BU133" s="216">
        <v>-681</v>
      </c>
      <c r="BV133" s="183">
        <v>-3539</v>
      </c>
      <c r="BW133" s="183">
        <v>4321</v>
      </c>
      <c r="BX133" s="183">
        <v>0</v>
      </c>
      <c r="BY133" s="183">
        <v>101</v>
      </c>
      <c r="BZ133" s="183">
        <v>8364</v>
      </c>
      <c r="CA133" s="183">
        <v>3334</v>
      </c>
      <c r="CB133" s="167"/>
      <c r="CC133" s="183">
        <v>1056</v>
      </c>
      <c r="CD133" s="183">
        <v>-3400</v>
      </c>
      <c r="CE133" s="180">
        <v>-3868</v>
      </c>
      <c r="CF133" s="139">
        <v>33743</v>
      </c>
      <c r="CG133" s="216">
        <v>31728</v>
      </c>
      <c r="CH133" s="216">
        <v>698</v>
      </c>
      <c r="CI133" s="216">
        <v>1317</v>
      </c>
      <c r="CJ133" s="212">
        <v>21.5</v>
      </c>
      <c r="CK133" s="144"/>
      <c r="CL133" s="130">
        <v>55</v>
      </c>
      <c r="CM133" s="228">
        <v>10238</v>
      </c>
      <c r="CN133" s="138"/>
      <c r="CO133" s="142">
        <v>1.5739255603536912</v>
      </c>
      <c r="CP133" s="142">
        <v>59.493547261946283</v>
      </c>
      <c r="CQ133" s="183">
        <v>-3430.3574916975972</v>
      </c>
      <c r="CR133" s="144"/>
      <c r="CS133"/>
      <c r="CU133" s="232">
        <v>53.993042466800937</v>
      </c>
      <c r="CV133" s="143">
        <v>417.26899785114279</v>
      </c>
      <c r="CW133" s="146">
        <v>20.197404212326106</v>
      </c>
      <c r="CX133" s="143">
        <v>7540.7306114475487</v>
      </c>
      <c r="CY133" s="131">
        <v>30113</v>
      </c>
      <c r="CZ133" s="229">
        <v>7338</v>
      </c>
      <c r="DA133" s="229">
        <v>64064</v>
      </c>
      <c r="DB133" s="216">
        <v>-56726</v>
      </c>
      <c r="DC133" s="229">
        <v>35312</v>
      </c>
      <c r="DD133" s="229">
        <v>29025</v>
      </c>
      <c r="DE133" s="151"/>
      <c r="DG133" s="229">
        <v>-150</v>
      </c>
      <c r="DH133" s="229">
        <v>30</v>
      </c>
      <c r="DI133" s="229">
        <v>7491</v>
      </c>
      <c r="DJ133" s="229">
        <v>4524</v>
      </c>
      <c r="DK133" s="229">
        <v>0</v>
      </c>
      <c r="DL133" s="229">
        <v>0</v>
      </c>
      <c r="DM133" s="229">
        <v>2967</v>
      </c>
      <c r="DN133" s="130">
        <v>386</v>
      </c>
      <c r="DO133" s="130">
        <v>-3000</v>
      </c>
      <c r="DP133" s="130">
        <v>0</v>
      </c>
      <c r="DQ133" s="130">
        <v>353</v>
      </c>
      <c r="DR133" s="130">
        <v>8717</v>
      </c>
      <c r="DS133" s="130">
        <v>7215</v>
      </c>
      <c r="DT133" s="167"/>
      <c r="DU133" s="183">
        <v>-379</v>
      </c>
      <c r="DV133" s="183">
        <v>-4700</v>
      </c>
      <c r="DW133" s="180">
        <v>859</v>
      </c>
      <c r="DX133" s="130">
        <v>35312</v>
      </c>
      <c r="DY133" s="229">
        <v>33249</v>
      </c>
      <c r="DZ133" s="229">
        <v>861</v>
      </c>
      <c r="EA133" s="229">
        <v>1202</v>
      </c>
      <c r="EB133" s="212">
        <v>21.5</v>
      </c>
      <c r="EC133" s="208"/>
      <c r="ED133" s="183">
        <v>114.463235294117</v>
      </c>
      <c r="EE133" s="3">
        <v>20055</v>
      </c>
      <c r="EF133" s="183">
        <v>22465</v>
      </c>
      <c r="EG133" s="130">
        <v>23819</v>
      </c>
      <c r="EH133" s="130"/>
      <c r="EI133" s="130"/>
      <c r="EJ133" s="130"/>
      <c r="EK133" s="183">
        <v>-19201</v>
      </c>
      <c r="EL133" s="183">
        <v>130</v>
      </c>
      <c r="EM133" s="183">
        <v>2438</v>
      </c>
      <c r="EN133" s="226">
        <v>-8730</v>
      </c>
      <c r="EO133" s="226">
        <v>475</v>
      </c>
      <c r="EP133" s="226">
        <v>1053</v>
      </c>
      <c r="EQ133" s="226">
        <v>-7094</v>
      </c>
      <c r="ER133" s="230">
        <v>16</v>
      </c>
      <c r="ES133" s="230">
        <v>722</v>
      </c>
      <c r="ET133" s="3">
        <v>10000</v>
      </c>
      <c r="EU133" s="211">
        <v>5000</v>
      </c>
      <c r="EV133" s="183">
        <v>6000</v>
      </c>
      <c r="EW133" s="183">
        <v>3000</v>
      </c>
      <c r="EX133" s="130">
        <v>0</v>
      </c>
      <c r="EY133" s="183">
        <v>0</v>
      </c>
      <c r="EZ133" s="3">
        <v>30550</v>
      </c>
      <c r="FA133" s="3">
        <v>19150</v>
      </c>
      <c r="FB133" s="3">
        <v>11400</v>
      </c>
      <c r="FC133" s="3">
        <v>647</v>
      </c>
      <c r="FD133" s="226">
        <v>36152</v>
      </c>
      <c r="FE133" s="183">
        <v>20452</v>
      </c>
      <c r="FF133" s="183">
        <v>15700</v>
      </c>
      <c r="FG133" s="183">
        <v>1540</v>
      </c>
      <c r="FH133" s="230">
        <v>31453</v>
      </c>
      <c r="FI133" s="130">
        <v>17153</v>
      </c>
      <c r="FJ133" s="130">
        <v>14300</v>
      </c>
      <c r="FK133" s="130">
        <v>1388</v>
      </c>
      <c r="FL133" s="29">
        <v>4471.2134632418074</v>
      </c>
      <c r="FM133" s="139">
        <v>5021.8820527916796</v>
      </c>
      <c r="FN133" s="139">
        <v>4705.5088884547768</v>
      </c>
      <c r="FO133" s="172">
        <f t="shared" si="6"/>
        <v>1546.4651162790697</v>
      </c>
      <c r="FP133" s="170">
        <f t="shared" si="7"/>
        <v>151.05148625503708</v>
      </c>
      <c r="FR133" s="175"/>
      <c r="FS133" s="195"/>
      <c r="FV133" s="175">
        <v>1949</v>
      </c>
      <c r="FW133" s="2">
        <f t="shared" si="8"/>
        <v>-1949</v>
      </c>
      <c r="FZ133" s="186"/>
      <c r="GA133" s="2"/>
      <c r="GB133" s="2"/>
    </row>
    <row r="134" spans="1:184" ht="13" x14ac:dyDescent="0.3">
      <c r="A134" s="77">
        <v>426</v>
      </c>
      <c r="B134" s="75" t="s">
        <v>131</v>
      </c>
      <c r="C134" s="179">
        <v>12145</v>
      </c>
      <c r="D134" s="138"/>
      <c r="E134" s="142">
        <v>0.60236447520184544</v>
      </c>
      <c r="F134" s="142">
        <v>52.30599876001164</v>
      </c>
      <c r="G134" s="183">
        <v>-3072.5401399752986</v>
      </c>
      <c r="H134" s="144"/>
      <c r="I134" s="186"/>
      <c r="K134" s="210">
        <v>34.138627080121431</v>
      </c>
      <c r="L134" s="143">
        <v>228.15973651708521</v>
      </c>
      <c r="M134" s="146">
        <v>11.768165687358195</v>
      </c>
      <c r="N134" s="143">
        <v>7076.5747221078636</v>
      </c>
      <c r="O134" s="138">
        <v>20784</v>
      </c>
      <c r="P134" s="143">
        <v>12575</v>
      </c>
      <c r="Q134" s="184">
        <v>75250</v>
      </c>
      <c r="R134" s="184">
        <v>-62675</v>
      </c>
      <c r="S134" s="139">
        <v>39488</v>
      </c>
      <c r="T134" s="138">
        <v>26970</v>
      </c>
      <c r="U134" s="151"/>
      <c r="W134" s="183">
        <v>-243</v>
      </c>
      <c r="X134" s="183">
        <v>338</v>
      </c>
      <c r="Y134" s="184">
        <v>3878</v>
      </c>
      <c r="Z134" s="130">
        <v>2857</v>
      </c>
      <c r="AA134" s="130">
        <v>0</v>
      </c>
      <c r="AB134" s="130">
        <v>0</v>
      </c>
      <c r="AC134" s="184">
        <v>1021</v>
      </c>
      <c r="AD134" s="183">
        <v>119</v>
      </c>
      <c r="AE134" s="183">
        <v>0</v>
      </c>
      <c r="AF134" s="183">
        <v>0</v>
      </c>
      <c r="AG134" s="183">
        <v>1140</v>
      </c>
      <c r="AH134" s="183">
        <v>5056</v>
      </c>
      <c r="AI134" s="183">
        <v>3506</v>
      </c>
      <c r="AJ134" s="167"/>
      <c r="AK134" s="183">
        <v>164</v>
      </c>
      <c r="AL134" s="183">
        <v>-6636</v>
      </c>
      <c r="AM134" s="180">
        <v>-88</v>
      </c>
      <c r="AN134" s="139">
        <v>39488</v>
      </c>
      <c r="AO134" s="138">
        <v>35753</v>
      </c>
      <c r="AP134" s="184">
        <v>1338</v>
      </c>
      <c r="AQ134" s="138">
        <v>2397</v>
      </c>
      <c r="AR134" s="109">
        <v>21.5</v>
      </c>
      <c r="AS134" s="144"/>
      <c r="AT134" s="139">
        <v>104</v>
      </c>
      <c r="AU134" s="228">
        <v>12084</v>
      </c>
      <c r="AV134" s="138"/>
      <c r="AW134" s="224">
        <v>0.52492795756509325</v>
      </c>
      <c r="AX134" s="225">
        <v>54.350381013761989</v>
      </c>
      <c r="AY134" s="139">
        <v>-3143.495531281033</v>
      </c>
      <c r="AZ134" s="144"/>
      <c r="BA134"/>
      <c r="BC134" s="189">
        <v>32.581861418357612</v>
      </c>
      <c r="BD134" s="183">
        <v>303.95564382654749</v>
      </c>
      <c r="BE134" s="140">
        <v>15.452517894397124</v>
      </c>
      <c r="BF134" s="139">
        <v>7179.6590532936116</v>
      </c>
      <c r="BG134" s="184">
        <v>21188</v>
      </c>
      <c r="BH134" s="216">
        <v>11849</v>
      </c>
      <c r="BI134" s="216">
        <v>76936</v>
      </c>
      <c r="BJ134" s="216">
        <v>-65087</v>
      </c>
      <c r="BK134" s="216">
        <v>40749</v>
      </c>
      <c r="BL134" s="216">
        <v>26533</v>
      </c>
      <c r="BM134" s="151"/>
      <c r="BO134" s="216">
        <v>-233</v>
      </c>
      <c r="BP134" s="216">
        <v>335</v>
      </c>
      <c r="BQ134" s="216">
        <v>2297</v>
      </c>
      <c r="BR134" s="216">
        <v>2951</v>
      </c>
      <c r="BS134" s="216">
        <v>0</v>
      </c>
      <c r="BT134" s="216">
        <v>0</v>
      </c>
      <c r="BU134" s="216">
        <v>-654</v>
      </c>
      <c r="BV134" s="183">
        <v>119</v>
      </c>
      <c r="BW134" s="183">
        <v>0</v>
      </c>
      <c r="BX134" s="183">
        <v>0</v>
      </c>
      <c r="BY134" s="183">
        <v>-535</v>
      </c>
      <c r="BZ134" s="183">
        <v>4522</v>
      </c>
      <c r="CA134" s="183">
        <v>2109</v>
      </c>
      <c r="CB134" s="167"/>
      <c r="CC134" s="183">
        <v>-97</v>
      </c>
      <c r="CD134" s="183">
        <v>-6471</v>
      </c>
      <c r="CE134" s="180">
        <v>-654</v>
      </c>
      <c r="CF134" s="139">
        <v>40749</v>
      </c>
      <c r="CG134" s="216">
        <v>36988</v>
      </c>
      <c r="CH134" s="216">
        <v>1345</v>
      </c>
      <c r="CI134" s="216">
        <v>2416</v>
      </c>
      <c r="CJ134" s="212">
        <v>21.5</v>
      </c>
      <c r="CK134" s="144"/>
      <c r="CL134" s="130">
        <v>133</v>
      </c>
      <c r="CM134" s="228">
        <v>11994</v>
      </c>
      <c r="CN134" s="138"/>
      <c r="CO134" s="142">
        <v>0.70162162162162167</v>
      </c>
      <c r="CP134" s="142">
        <v>60.223535579810303</v>
      </c>
      <c r="CQ134" s="183">
        <v>-3424.7123561780891</v>
      </c>
      <c r="CR134" s="144"/>
      <c r="CS134"/>
      <c r="CU134" s="232">
        <v>29.086508880593954</v>
      </c>
      <c r="CV134" s="143">
        <v>646.82341170585289</v>
      </c>
      <c r="CW134" s="146">
        <v>29.371732636295743</v>
      </c>
      <c r="CX134" s="143">
        <v>8038.0190095047528</v>
      </c>
      <c r="CY134" s="131">
        <v>20974</v>
      </c>
      <c r="CZ134" s="229">
        <v>11675</v>
      </c>
      <c r="DA134" s="229">
        <v>79570</v>
      </c>
      <c r="DB134" s="216">
        <v>-67895</v>
      </c>
      <c r="DC134" s="229">
        <v>41381</v>
      </c>
      <c r="DD134" s="229">
        <v>30868</v>
      </c>
      <c r="DE134" s="151"/>
      <c r="DG134" s="229">
        <v>-273</v>
      </c>
      <c r="DH134" s="229">
        <v>835</v>
      </c>
      <c r="DI134" s="229">
        <v>4916</v>
      </c>
      <c r="DJ134" s="229">
        <v>4118</v>
      </c>
      <c r="DK134" s="229">
        <v>0</v>
      </c>
      <c r="DL134" s="229">
        <v>0</v>
      </c>
      <c r="DM134" s="229">
        <v>798</v>
      </c>
      <c r="DN134" s="130">
        <v>119</v>
      </c>
      <c r="DO134" s="130">
        <v>0</v>
      </c>
      <c r="DP134" s="130">
        <v>0</v>
      </c>
      <c r="DQ134" s="130">
        <v>917</v>
      </c>
      <c r="DR134" s="130">
        <v>5088</v>
      </c>
      <c r="DS134" s="130">
        <v>6024</v>
      </c>
      <c r="DT134" s="167"/>
      <c r="DU134" s="183">
        <v>-359</v>
      </c>
      <c r="DV134" s="183">
        <v>-7124</v>
      </c>
      <c r="DW134" s="180">
        <v>-2599</v>
      </c>
      <c r="DX134" s="130">
        <v>41381</v>
      </c>
      <c r="DY134" s="229">
        <v>37662</v>
      </c>
      <c r="DZ134" s="229">
        <v>1430</v>
      </c>
      <c r="EA134" s="229">
        <v>2289</v>
      </c>
      <c r="EB134" s="212">
        <v>21.5</v>
      </c>
      <c r="EC134" s="208"/>
      <c r="ED134" s="183">
        <v>253.47794117647001</v>
      </c>
      <c r="EE134" s="3">
        <v>48399</v>
      </c>
      <c r="EF134" s="183">
        <v>49397</v>
      </c>
      <c r="EG134" s="130">
        <v>51852</v>
      </c>
      <c r="EH134" s="130"/>
      <c r="EI134" s="130"/>
      <c r="EJ134" s="130"/>
      <c r="EK134" s="183">
        <v>-3752</v>
      </c>
      <c r="EL134" s="183">
        <v>0</v>
      </c>
      <c r="EM134" s="183">
        <v>158</v>
      </c>
      <c r="EN134" s="226">
        <v>-3052</v>
      </c>
      <c r="EO134" s="226">
        <v>85</v>
      </c>
      <c r="EP134" s="226">
        <v>204</v>
      </c>
      <c r="EQ134" s="226">
        <v>-9276</v>
      </c>
      <c r="ER134" s="230">
        <v>518</v>
      </c>
      <c r="ES134" s="230">
        <v>135</v>
      </c>
      <c r="ET134" s="3">
        <v>8000</v>
      </c>
      <c r="EU134" s="211">
        <v>-1090</v>
      </c>
      <c r="EV134" s="183">
        <v>9000</v>
      </c>
      <c r="EW134" s="183">
        <v>-895</v>
      </c>
      <c r="EX134" s="130">
        <v>15000</v>
      </c>
      <c r="EY134" s="183">
        <v>-654</v>
      </c>
      <c r="EZ134" s="3">
        <v>33442</v>
      </c>
      <c r="FA134" s="3">
        <v>24656</v>
      </c>
      <c r="FB134" s="3">
        <v>8786</v>
      </c>
      <c r="FC134" s="3">
        <v>1433</v>
      </c>
      <c r="FD134" s="226">
        <v>35076</v>
      </c>
      <c r="FE134" s="183">
        <v>26849</v>
      </c>
      <c r="FF134" s="183">
        <v>8227</v>
      </c>
      <c r="FG134" s="183">
        <v>1433</v>
      </c>
      <c r="FH134" s="230">
        <v>42298</v>
      </c>
      <c r="FI134" s="130">
        <v>33730</v>
      </c>
      <c r="FJ134" s="130">
        <v>8568</v>
      </c>
      <c r="FK134" s="130">
        <v>1408</v>
      </c>
      <c r="FL134" s="29">
        <v>4051.2968299711815</v>
      </c>
      <c r="FM134" s="139">
        <v>4173.6180072823572</v>
      </c>
      <c r="FN134" s="139">
        <v>4900.9504752376188</v>
      </c>
      <c r="FO134" s="172">
        <f t="shared" si="6"/>
        <v>1751.7209302325582</v>
      </c>
      <c r="FP134" s="170">
        <f t="shared" si="7"/>
        <v>146.04976907058182</v>
      </c>
      <c r="FR134" s="175"/>
      <c r="FS134" s="195"/>
      <c r="FV134" s="175">
        <v>3322</v>
      </c>
      <c r="FW134" s="2">
        <f t="shared" si="8"/>
        <v>-3322</v>
      </c>
      <c r="FZ134" s="186"/>
      <c r="GA134" s="2"/>
      <c r="GB134" s="2"/>
    </row>
    <row r="135" spans="1:184" ht="13" x14ac:dyDescent="0.3">
      <c r="A135" s="77">
        <v>444</v>
      </c>
      <c r="B135" s="75" t="s">
        <v>139</v>
      </c>
      <c r="C135" s="179">
        <v>46296</v>
      </c>
      <c r="D135" s="138"/>
      <c r="E135" s="142">
        <v>0.61001114253878463</v>
      </c>
      <c r="F135" s="142">
        <v>66.501052465659413</v>
      </c>
      <c r="G135" s="183">
        <v>-4013.694487644721</v>
      </c>
      <c r="H135" s="144"/>
      <c r="I135" s="186"/>
      <c r="K135" s="210">
        <v>38.845004461638887</v>
      </c>
      <c r="L135" s="143">
        <v>117.4831518921721</v>
      </c>
      <c r="M135" s="146">
        <v>5.8119691899630244</v>
      </c>
      <c r="N135" s="143">
        <v>7378.1104199066876</v>
      </c>
      <c r="O135" s="138">
        <v>131601</v>
      </c>
      <c r="P135" s="143">
        <v>47832</v>
      </c>
      <c r="Q135" s="184">
        <v>299071</v>
      </c>
      <c r="R135" s="184">
        <v>-251239</v>
      </c>
      <c r="S135" s="139">
        <v>188458</v>
      </c>
      <c r="T135" s="138">
        <v>68441</v>
      </c>
      <c r="U135" s="151"/>
      <c r="W135" s="183">
        <v>-969</v>
      </c>
      <c r="X135" s="183">
        <v>1245</v>
      </c>
      <c r="Y135" s="184">
        <v>5936</v>
      </c>
      <c r="Z135" s="130">
        <v>15801</v>
      </c>
      <c r="AA135" s="130">
        <v>0</v>
      </c>
      <c r="AB135" s="130">
        <v>0</v>
      </c>
      <c r="AC135" s="184">
        <v>-9865</v>
      </c>
      <c r="AD135" s="184">
        <v>67</v>
      </c>
      <c r="AE135" s="184">
        <v>0</v>
      </c>
      <c r="AF135" s="183">
        <v>0</v>
      </c>
      <c r="AG135" s="183">
        <v>-9798</v>
      </c>
      <c r="AH135" s="183">
        <v>235</v>
      </c>
      <c r="AI135" s="183">
        <v>5084</v>
      </c>
      <c r="AJ135" s="167"/>
      <c r="AK135" s="183">
        <v>1027</v>
      </c>
      <c r="AL135" s="183">
        <v>-10486</v>
      </c>
      <c r="AM135" s="180">
        <v>-21828</v>
      </c>
      <c r="AN135" s="139">
        <v>188458</v>
      </c>
      <c r="AO135" s="138">
        <v>168400</v>
      </c>
      <c r="AP135" s="184">
        <v>6789</v>
      </c>
      <c r="AQ135" s="138">
        <v>13269</v>
      </c>
      <c r="AR135" s="109">
        <v>20.5</v>
      </c>
      <c r="AS135" s="144"/>
      <c r="AT135" s="139">
        <v>207</v>
      </c>
      <c r="AU135" s="228">
        <v>45965</v>
      </c>
      <c r="AV135" s="138"/>
      <c r="AW135" s="224">
        <v>0.32470640061673389</v>
      </c>
      <c r="AX135" s="225">
        <v>70.630249774457155</v>
      </c>
      <c r="AY135" s="139">
        <v>-4403.0240400304583</v>
      </c>
      <c r="AZ135" s="144"/>
      <c r="BA135"/>
      <c r="BC135" s="189">
        <v>35.314768517566463</v>
      </c>
      <c r="BD135" s="183">
        <v>98.988360709235295</v>
      </c>
      <c r="BE135" s="140">
        <v>4.8855215586600886</v>
      </c>
      <c r="BF135" s="139">
        <v>7395.4748177961492</v>
      </c>
      <c r="BG135" s="184">
        <v>128309</v>
      </c>
      <c r="BH135" s="216">
        <v>49228</v>
      </c>
      <c r="BI135" s="216">
        <v>300779</v>
      </c>
      <c r="BJ135" s="216">
        <v>-251198</v>
      </c>
      <c r="BK135" s="216">
        <v>190089</v>
      </c>
      <c r="BL135" s="216">
        <v>67720</v>
      </c>
      <c r="BM135" s="151"/>
      <c r="BO135" s="216">
        <v>-1517</v>
      </c>
      <c r="BP135" s="216">
        <v>1308</v>
      </c>
      <c r="BQ135" s="216">
        <v>6402</v>
      </c>
      <c r="BR135" s="216">
        <v>15919</v>
      </c>
      <c r="BS135" s="216">
        <v>0</v>
      </c>
      <c r="BT135" s="216">
        <v>0</v>
      </c>
      <c r="BU135" s="216">
        <v>-9517</v>
      </c>
      <c r="BV135" s="184">
        <v>67</v>
      </c>
      <c r="BW135" s="184">
        <v>0</v>
      </c>
      <c r="BX135" s="183">
        <v>0</v>
      </c>
      <c r="BY135" s="183">
        <v>-9450</v>
      </c>
      <c r="BZ135" s="183">
        <v>-9215</v>
      </c>
      <c r="CA135" s="183">
        <v>5932</v>
      </c>
      <c r="CB135" s="167"/>
      <c r="CC135" s="183">
        <v>1327</v>
      </c>
      <c r="CD135" s="183">
        <v>-12022</v>
      </c>
      <c r="CE135" s="180">
        <v>-16306</v>
      </c>
      <c r="CF135" s="139">
        <v>190089</v>
      </c>
      <c r="CG135" s="216">
        <v>169133</v>
      </c>
      <c r="CH135" s="216">
        <v>7157</v>
      </c>
      <c r="CI135" s="216">
        <v>13799</v>
      </c>
      <c r="CJ135" s="212">
        <v>20.5</v>
      </c>
      <c r="CK135" s="144"/>
      <c r="CL135" s="130">
        <v>160</v>
      </c>
      <c r="CM135" s="228">
        <v>45886</v>
      </c>
      <c r="CN135" s="138"/>
      <c r="CO135" s="142">
        <v>2.5442220787604906</v>
      </c>
      <c r="CP135" s="142">
        <v>67.869609210817799</v>
      </c>
      <c r="CQ135" s="183">
        <v>-4409.9289543651657</v>
      </c>
      <c r="CR135" s="144"/>
      <c r="CS135"/>
      <c r="CU135" s="232">
        <v>36.925386323158534</v>
      </c>
      <c r="CV135" s="143">
        <v>188.85934707753998</v>
      </c>
      <c r="CW135" s="146">
        <v>9.0396986662322707</v>
      </c>
      <c r="CX135" s="143">
        <v>7625.6592424704704</v>
      </c>
      <c r="CY135" s="131">
        <v>128601</v>
      </c>
      <c r="CZ135" s="229">
        <v>48104</v>
      </c>
      <c r="DA135" s="229">
        <v>300744</v>
      </c>
      <c r="DB135" s="216">
        <v>-252640</v>
      </c>
      <c r="DC135" s="229">
        <v>197255</v>
      </c>
      <c r="DD135" s="229">
        <v>88923</v>
      </c>
      <c r="DE135" s="151"/>
      <c r="DG135" s="229">
        <v>-1605</v>
      </c>
      <c r="DH135" s="229">
        <v>1762</v>
      </c>
      <c r="DI135" s="229">
        <v>33695</v>
      </c>
      <c r="DJ135" s="229">
        <v>19350</v>
      </c>
      <c r="DK135" s="229">
        <v>0</v>
      </c>
      <c r="DL135" s="229">
        <v>0</v>
      </c>
      <c r="DM135" s="229">
        <v>14345</v>
      </c>
      <c r="DN135" s="131">
        <v>67</v>
      </c>
      <c r="DO135" s="131">
        <v>0</v>
      </c>
      <c r="DP135" s="130">
        <v>0</v>
      </c>
      <c r="DQ135" s="130">
        <v>14412</v>
      </c>
      <c r="DR135" s="130">
        <v>5198</v>
      </c>
      <c r="DS135" s="130">
        <v>31700</v>
      </c>
      <c r="DT135" s="167"/>
      <c r="DU135" s="183">
        <v>-5767</v>
      </c>
      <c r="DV135" s="183">
        <v>-12167</v>
      </c>
      <c r="DW135" s="180">
        <v>-349</v>
      </c>
      <c r="DX135" s="130">
        <v>197255</v>
      </c>
      <c r="DY135" s="229">
        <v>177030</v>
      </c>
      <c r="DZ135" s="229">
        <v>7709</v>
      </c>
      <c r="EA135" s="229">
        <v>12516</v>
      </c>
      <c r="EB135" s="212">
        <v>20.5</v>
      </c>
      <c r="EC135" s="208"/>
      <c r="ED135" s="183">
        <v>112.448529411764</v>
      </c>
      <c r="EE135" s="3">
        <v>129245</v>
      </c>
      <c r="EF135" s="183">
        <v>136356</v>
      </c>
      <c r="EG135" s="130">
        <v>134950</v>
      </c>
      <c r="EH135" s="130"/>
      <c r="EI135" s="130"/>
      <c r="EJ135" s="130"/>
      <c r="EK135" s="183">
        <v>-30761</v>
      </c>
      <c r="EL135" s="183">
        <v>2284</v>
      </c>
      <c r="EM135" s="183">
        <v>1565</v>
      </c>
      <c r="EN135" s="226">
        <v>-25559</v>
      </c>
      <c r="EO135" s="226">
        <v>203</v>
      </c>
      <c r="EP135" s="226">
        <v>3118</v>
      </c>
      <c r="EQ135" s="226">
        <v>-34442</v>
      </c>
      <c r="ER135" s="230">
        <v>16</v>
      </c>
      <c r="ES135" s="230">
        <v>2377</v>
      </c>
      <c r="ET135" s="3">
        <v>28000</v>
      </c>
      <c r="EU135" s="211">
        <v>-3994</v>
      </c>
      <c r="EV135" s="183">
        <v>36500</v>
      </c>
      <c r="EW135" s="183">
        <v>-8114</v>
      </c>
      <c r="EX135" s="130">
        <v>23000</v>
      </c>
      <c r="EY135" s="183">
        <v>-6362</v>
      </c>
      <c r="EZ135" s="3">
        <v>157001</v>
      </c>
      <c r="FA135" s="3">
        <v>116793</v>
      </c>
      <c r="FB135" s="3">
        <v>40208</v>
      </c>
      <c r="FC135" s="3">
        <v>3123</v>
      </c>
      <c r="FD135" s="226">
        <v>173920</v>
      </c>
      <c r="FE135" s="183">
        <v>141640</v>
      </c>
      <c r="FF135" s="183">
        <v>32280</v>
      </c>
      <c r="FG135" s="183">
        <v>3057</v>
      </c>
      <c r="FH135" s="230">
        <v>178390</v>
      </c>
      <c r="FI135" s="130">
        <v>151232</v>
      </c>
      <c r="FJ135" s="130">
        <v>27158</v>
      </c>
      <c r="FK135" s="130">
        <v>3750</v>
      </c>
      <c r="FL135" s="29">
        <v>4808.2555728356656</v>
      </c>
      <c r="FM135" s="139">
        <v>5329.3157837485041</v>
      </c>
      <c r="FN135" s="139">
        <v>6108.1593514361675</v>
      </c>
      <c r="FO135" s="172">
        <f t="shared" si="6"/>
        <v>8635.6097560975613</v>
      </c>
      <c r="FP135" s="170">
        <f t="shared" si="7"/>
        <v>188.19704825213708</v>
      </c>
      <c r="FR135" s="175"/>
      <c r="FS135" s="195"/>
      <c r="FV135" s="175">
        <v>5677</v>
      </c>
      <c r="FW135" s="2">
        <f t="shared" si="8"/>
        <v>-5677</v>
      </c>
      <c r="FZ135" s="186"/>
      <c r="GA135" s="2"/>
      <c r="GB135" s="2"/>
    </row>
    <row r="136" spans="1:184" ht="13" x14ac:dyDescent="0.3">
      <c r="A136" s="77">
        <v>430</v>
      </c>
      <c r="B136" s="75" t="s">
        <v>132</v>
      </c>
      <c r="C136" s="179">
        <v>16032</v>
      </c>
      <c r="D136" s="138"/>
      <c r="E136" s="142">
        <v>-2.9187333078977491E-2</v>
      </c>
      <c r="F136" s="142">
        <v>44.120336901516403</v>
      </c>
      <c r="G136" s="183">
        <v>-2720.1846307385231</v>
      </c>
      <c r="H136" s="144"/>
      <c r="I136" s="186"/>
      <c r="K136" s="210">
        <v>42.651739286354669</v>
      </c>
      <c r="L136" s="143">
        <v>211.63922155688621</v>
      </c>
      <c r="M136" s="146">
        <v>9.9686478741729321</v>
      </c>
      <c r="N136" s="143">
        <v>7749.1267465069868</v>
      </c>
      <c r="O136" s="138">
        <v>46836</v>
      </c>
      <c r="P136" s="143">
        <v>20594</v>
      </c>
      <c r="Q136" s="184">
        <v>115210</v>
      </c>
      <c r="R136" s="184">
        <v>-94616</v>
      </c>
      <c r="S136" s="139">
        <v>53277</v>
      </c>
      <c r="T136" s="138">
        <v>40940</v>
      </c>
      <c r="U136" s="151"/>
      <c r="W136" s="183">
        <v>-257</v>
      </c>
      <c r="X136" s="183">
        <v>246</v>
      </c>
      <c r="Y136" s="184">
        <v>-410</v>
      </c>
      <c r="Z136" s="130">
        <v>4674</v>
      </c>
      <c r="AA136" s="130">
        <v>0</v>
      </c>
      <c r="AB136" s="130">
        <v>0</v>
      </c>
      <c r="AC136" s="184">
        <v>-5084</v>
      </c>
      <c r="AD136" s="184">
        <v>64</v>
      </c>
      <c r="AE136" s="183">
        <v>0</v>
      </c>
      <c r="AF136" s="183">
        <v>0</v>
      </c>
      <c r="AG136" s="183">
        <v>-5020</v>
      </c>
      <c r="AH136" s="183">
        <v>-4392</v>
      </c>
      <c r="AI136" s="183">
        <v>-1365</v>
      </c>
      <c r="AJ136" s="167"/>
      <c r="AK136" s="183">
        <v>766</v>
      </c>
      <c r="AL136" s="183">
        <v>-4985</v>
      </c>
      <c r="AM136" s="180">
        <v>-3676</v>
      </c>
      <c r="AN136" s="139">
        <v>53277</v>
      </c>
      <c r="AO136" s="138">
        <v>45814</v>
      </c>
      <c r="AP136" s="184">
        <v>3300</v>
      </c>
      <c r="AQ136" s="138">
        <v>4163</v>
      </c>
      <c r="AR136" s="109">
        <v>20.5</v>
      </c>
      <c r="AS136" s="144"/>
      <c r="AT136" s="139">
        <v>259</v>
      </c>
      <c r="AU136" s="228">
        <v>15875</v>
      </c>
      <c r="AV136" s="138"/>
      <c r="AW136" s="224">
        <v>0.28346392591838809</v>
      </c>
      <c r="AX136" s="225">
        <v>48.745891714236294</v>
      </c>
      <c r="AY136" s="139">
        <v>-2915.8425196850394</v>
      </c>
      <c r="AZ136" s="144"/>
      <c r="BA136"/>
      <c r="BC136" s="189">
        <v>37.831668423970349</v>
      </c>
      <c r="BD136" s="183">
        <v>374.99212598425197</v>
      </c>
      <c r="BE136" s="140">
        <v>17.67287796466799</v>
      </c>
      <c r="BF136" s="139">
        <v>7744.7559055118109</v>
      </c>
      <c r="BG136" s="184">
        <v>46272</v>
      </c>
      <c r="BH136" s="216">
        <v>20292</v>
      </c>
      <c r="BI136" s="216">
        <v>114112</v>
      </c>
      <c r="BJ136" s="216">
        <v>-93820</v>
      </c>
      <c r="BK136" s="216">
        <v>54383</v>
      </c>
      <c r="BL136" s="216">
        <v>40945</v>
      </c>
      <c r="BM136" s="151"/>
      <c r="BO136" s="216">
        <v>-228</v>
      </c>
      <c r="BP136" s="216">
        <v>233</v>
      </c>
      <c r="BQ136" s="216">
        <v>1513</v>
      </c>
      <c r="BR136" s="216">
        <v>3960</v>
      </c>
      <c r="BS136" s="216">
        <v>0</v>
      </c>
      <c r="BT136" s="216">
        <v>808</v>
      </c>
      <c r="BU136" s="216">
        <v>-3255</v>
      </c>
      <c r="BV136" s="184">
        <v>61</v>
      </c>
      <c r="BW136" s="183">
        <v>0</v>
      </c>
      <c r="BX136" s="183">
        <v>0</v>
      </c>
      <c r="BY136" s="183">
        <v>-3194</v>
      </c>
      <c r="BZ136" s="183">
        <v>-7586</v>
      </c>
      <c r="CA136" s="183">
        <v>519</v>
      </c>
      <c r="CB136" s="167"/>
      <c r="CC136" s="183">
        <v>-195</v>
      </c>
      <c r="CD136" s="183">
        <v>-4685</v>
      </c>
      <c r="CE136" s="180">
        <v>-3036</v>
      </c>
      <c r="CF136" s="139">
        <v>54383</v>
      </c>
      <c r="CG136" s="216">
        <v>46828</v>
      </c>
      <c r="CH136" s="216">
        <v>3347</v>
      </c>
      <c r="CI136" s="216">
        <v>4208</v>
      </c>
      <c r="CJ136" s="212">
        <v>21</v>
      </c>
      <c r="CK136" s="144"/>
      <c r="CL136" s="130">
        <v>182</v>
      </c>
      <c r="CM136" s="228">
        <v>15770</v>
      </c>
      <c r="CN136" s="138"/>
      <c r="CO136" s="142">
        <v>1.6996591504981646</v>
      </c>
      <c r="CP136" s="142">
        <v>43.023773044036972</v>
      </c>
      <c r="CQ136" s="183">
        <v>-2325.7450856055802</v>
      </c>
      <c r="CR136" s="144"/>
      <c r="CS136"/>
      <c r="CU136" s="232">
        <v>44.471438295198702</v>
      </c>
      <c r="CV136" s="143">
        <v>696.89283449587822</v>
      </c>
      <c r="CW136" s="146">
        <v>33.441850771154648</v>
      </c>
      <c r="CX136" s="143">
        <v>7606.2143310082438</v>
      </c>
      <c r="CY136" s="131">
        <v>43689</v>
      </c>
      <c r="CZ136" s="229">
        <v>18019</v>
      </c>
      <c r="DA136" s="229">
        <v>108729</v>
      </c>
      <c r="DB136" s="216">
        <v>-90710</v>
      </c>
      <c r="DC136" s="229">
        <v>55915</v>
      </c>
      <c r="DD136" s="229">
        <v>47464</v>
      </c>
      <c r="DE136" s="151"/>
      <c r="DG136" s="229">
        <v>-193</v>
      </c>
      <c r="DH136" s="229">
        <v>296</v>
      </c>
      <c r="DI136" s="229">
        <v>12772</v>
      </c>
      <c r="DJ136" s="229">
        <v>5108</v>
      </c>
      <c r="DK136" s="229">
        <v>0</v>
      </c>
      <c r="DL136" s="229">
        <v>0</v>
      </c>
      <c r="DM136" s="229">
        <v>7664</v>
      </c>
      <c r="DN136" s="131">
        <v>58</v>
      </c>
      <c r="DO136" s="130">
        <v>0</v>
      </c>
      <c r="DP136" s="130">
        <v>0</v>
      </c>
      <c r="DQ136" s="130">
        <v>7722</v>
      </c>
      <c r="DR136" s="130">
        <v>136</v>
      </c>
      <c r="DS136" s="130">
        <v>12580</v>
      </c>
      <c r="DT136" s="167"/>
      <c r="DU136" s="183">
        <v>-128</v>
      </c>
      <c r="DV136" s="183">
        <v>-7435</v>
      </c>
      <c r="DW136" s="180">
        <v>9270</v>
      </c>
      <c r="DX136" s="130">
        <v>55915</v>
      </c>
      <c r="DY136" s="229">
        <v>48377</v>
      </c>
      <c r="DZ136" s="229">
        <v>3724</v>
      </c>
      <c r="EA136" s="229">
        <v>3814</v>
      </c>
      <c r="EB136" s="212">
        <v>21</v>
      </c>
      <c r="EC136" s="208"/>
      <c r="ED136" s="183">
        <v>81.220588235294201</v>
      </c>
      <c r="EE136" s="3">
        <v>53910</v>
      </c>
      <c r="EF136" s="183">
        <v>53602</v>
      </c>
      <c r="EG136" s="130">
        <v>50578</v>
      </c>
      <c r="EH136" s="130"/>
      <c r="EI136" s="130">
        <v>950</v>
      </c>
      <c r="EJ136" s="130">
        <v>1000</v>
      </c>
      <c r="EK136" s="183">
        <v>-3688</v>
      </c>
      <c r="EL136" s="183">
        <v>266</v>
      </c>
      <c r="EM136" s="183">
        <v>1111</v>
      </c>
      <c r="EN136" s="226">
        <v>-3874</v>
      </c>
      <c r="EO136" s="226">
        <v>0</v>
      </c>
      <c r="EP136" s="226">
        <v>319</v>
      </c>
      <c r="EQ136" s="226">
        <v>-3573</v>
      </c>
      <c r="ER136" s="230">
        <v>0</v>
      </c>
      <c r="ES136" s="230">
        <v>263</v>
      </c>
      <c r="ET136" s="3">
        <v>5000</v>
      </c>
      <c r="EU136" s="211">
        <v>1000</v>
      </c>
      <c r="EV136" s="183">
        <v>10000</v>
      </c>
      <c r="EW136" s="183">
        <v>0</v>
      </c>
      <c r="EX136" s="130">
        <v>5000</v>
      </c>
      <c r="EY136" s="183">
        <v>0</v>
      </c>
      <c r="EZ136" s="3">
        <v>37675</v>
      </c>
      <c r="FA136" s="3">
        <v>20291</v>
      </c>
      <c r="FB136" s="3">
        <v>17384</v>
      </c>
      <c r="FC136" s="3">
        <v>894</v>
      </c>
      <c r="FD136" s="226">
        <v>42991</v>
      </c>
      <c r="FE136" s="183">
        <v>25056</v>
      </c>
      <c r="FF136" s="183">
        <v>17935</v>
      </c>
      <c r="FG136" s="183">
        <v>807</v>
      </c>
      <c r="FH136" s="230">
        <v>40555</v>
      </c>
      <c r="FI136" s="130">
        <v>22406</v>
      </c>
      <c r="FJ136" s="130">
        <v>18149</v>
      </c>
      <c r="FK136" s="130">
        <v>802</v>
      </c>
      <c r="FL136" s="29">
        <v>3381.4870259481036</v>
      </c>
      <c r="FM136" s="139">
        <v>3656.9448818897636</v>
      </c>
      <c r="FN136" s="139">
        <v>3399.3024730500952</v>
      </c>
      <c r="FO136" s="172">
        <f t="shared" si="6"/>
        <v>2303.6666666666665</v>
      </c>
      <c r="FP136" s="170">
        <f t="shared" si="7"/>
        <v>146.07905305432254</v>
      </c>
      <c r="FR136" s="175"/>
      <c r="FS136" s="195"/>
      <c r="FV136" s="175">
        <v>8094</v>
      </c>
      <c r="FW136" s="2">
        <f t="shared" si="8"/>
        <v>-8094</v>
      </c>
      <c r="FZ136" s="186"/>
      <c r="GA136" s="2"/>
      <c r="GB136" s="2"/>
    </row>
    <row r="137" spans="1:184" ht="13" x14ac:dyDescent="0.3">
      <c r="A137" s="77">
        <v>433</v>
      </c>
      <c r="B137" s="75" t="s">
        <v>133</v>
      </c>
      <c r="C137" s="179">
        <v>7861</v>
      </c>
      <c r="D137" s="138"/>
      <c r="E137" s="142">
        <v>0.34509371554575524</v>
      </c>
      <c r="F137" s="142">
        <v>53.218787668294276</v>
      </c>
      <c r="G137" s="183">
        <v>-3052.7922656150618</v>
      </c>
      <c r="H137" s="144"/>
      <c r="I137" s="186"/>
      <c r="K137" s="210">
        <v>52.456906708234399</v>
      </c>
      <c r="L137" s="143">
        <v>108.76478819488615</v>
      </c>
      <c r="M137" s="146">
        <v>5.7881704874248836</v>
      </c>
      <c r="N137" s="143">
        <v>6858.6693804859433</v>
      </c>
      <c r="O137" s="138">
        <v>18003</v>
      </c>
      <c r="P137" s="143">
        <v>5477</v>
      </c>
      <c r="Q137" s="184">
        <v>47510</v>
      </c>
      <c r="R137" s="184">
        <v>-42033</v>
      </c>
      <c r="S137" s="139">
        <v>28112</v>
      </c>
      <c r="T137" s="138">
        <v>15422</v>
      </c>
      <c r="U137" s="151"/>
      <c r="W137" s="183">
        <v>-289</v>
      </c>
      <c r="X137" s="183">
        <v>54</v>
      </c>
      <c r="Y137" s="184">
        <v>1266</v>
      </c>
      <c r="Z137" s="130">
        <v>2091</v>
      </c>
      <c r="AA137" s="130">
        <v>0</v>
      </c>
      <c r="AB137" s="130">
        <v>0</v>
      </c>
      <c r="AC137" s="184">
        <v>-825</v>
      </c>
      <c r="AD137" s="183">
        <v>0</v>
      </c>
      <c r="AE137" s="183">
        <v>0</v>
      </c>
      <c r="AF137" s="183">
        <v>0</v>
      </c>
      <c r="AG137" s="183">
        <v>-825</v>
      </c>
      <c r="AH137" s="183">
        <v>12918</v>
      </c>
      <c r="AI137" s="183">
        <v>762</v>
      </c>
      <c r="AJ137" s="167"/>
      <c r="AK137" s="183">
        <v>-30</v>
      </c>
      <c r="AL137" s="183">
        <v>-4236</v>
      </c>
      <c r="AM137" s="180">
        <v>-886</v>
      </c>
      <c r="AN137" s="139">
        <v>28112</v>
      </c>
      <c r="AO137" s="138">
        <v>24605</v>
      </c>
      <c r="AP137" s="184">
        <v>1482</v>
      </c>
      <c r="AQ137" s="138">
        <v>2025</v>
      </c>
      <c r="AR137" s="109">
        <v>21.5</v>
      </c>
      <c r="AS137" s="144"/>
      <c r="AT137" s="139">
        <v>189</v>
      </c>
      <c r="AU137" s="228">
        <v>7828</v>
      </c>
      <c r="AV137" s="138"/>
      <c r="AW137" s="224">
        <v>1.0457053114806911</v>
      </c>
      <c r="AX137" s="225">
        <v>51.908022523494672</v>
      </c>
      <c r="AY137" s="139">
        <v>-2873.4031681144611</v>
      </c>
      <c r="AZ137" s="144"/>
      <c r="BA137"/>
      <c r="BC137" s="189">
        <v>52.595992585400303</v>
      </c>
      <c r="BD137" s="183">
        <v>355.26315789473682</v>
      </c>
      <c r="BE137" s="140">
        <v>19.199262341592586</v>
      </c>
      <c r="BF137" s="139">
        <v>6753.9601430761368</v>
      </c>
      <c r="BG137" s="184">
        <v>18266</v>
      </c>
      <c r="BH137" s="216">
        <v>5639</v>
      </c>
      <c r="BI137" s="216">
        <v>47770</v>
      </c>
      <c r="BJ137" s="216">
        <v>-42103</v>
      </c>
      <c r="BK137" s="216">
        <v>29206</v>
      </c>
      <c r="BL137" s="216">
        <v>16124</v>
      </c>
      <c r="BM137" s="151"/>
      <c r="BO137" s="216">
        <v>-282</v>
      </c>
      <c r="BP137" s="216">
        <v>8</v>
      </c>
      <c r="BQ137" s="216">
        <v>2953</v>
      </c>
      <c r="BR137" s="216">
        <v>2100</v>
      </c>
      <c r="BS137" s="216">
        <v>0</v>
      </c>
      <c r="BT137" s="216">
        <v>0</v>
      </c>
      <c r="BU137" s="216">
        <v>853</v>
      </c>
      <c r="BV137" s="183">
        <v>0</v>
      </c>
      <c r="BW137" s="183">
        <v>0</v>
      </c>
      <c r="BX137" s="183">
        <v>0</v>
      </c>
      <c r="BY137" s="183">
        <v>853</v>
      </c>
      <c r="BZ137" s="183">
        <v>13770</v>
      </c>
      <c r="CA137" s="183">
        <v>3008</v>
      </c>
      <c r="CB137" s="167"/>
      <c r="CC137" s="183">
        <v>12</v>
      </c>
      <c r="CD137" s="183">
        <v>-2975</v>
      </c>
      <c r="CE137" s="180">
        <v>1376</v>
      </c>
      <c r="CF137" s="139">
        <v>29206</v>
      </c>
      <c r="CG137" s="216">
        <v>25620</v>
      </c>
      <c r="CH137" s="216">
        <v>1479</v>
      </c>
      <c r="CI137" s="216">
        <v>2107</v>
      </c>
      <c r="CJ137" s="212">
        <v>21.5</v>
      </c>
      <c r="CK137" s="144"/>
      <c r="CL137" s="130">
        <v>64</v>
      </c>
      <c r="CM137" s="228">
        <v>7853</v>
      </c>
      <c r="CN137" s="138"/>
      <c r="CO137" s="142">
        <v>1.8400913763563678</v>
      </c>
      <c r="CP137" s="142">
        <v>46.948863948442849</v>
      </c>
      <c r="CQ137" s="183">
        <v>-2234.8147204889851</v>
      </c>
      <c r="CR137" s="144"/>
      <c r="CS137"/>
      <c r="CU137" s="232">
        <v>55.080592275566907</v>
      </c>
      <c r="CV137" s="143">
        <v>799.82172418184132</v>
      </c>
      <c r="CW137" s="146">
        <v>43.159039138537999</v>
      </c>
      <c r="CX137" s="143">
        <v>6764.1665605501084</v>
      </c>
      <c r="CY137" s="131">
        <v>18961</v>
      </c>
      <c r="CZ137" s="229">
        <v>5936</v>
      </c>
      <c r="DA137" s="229">
        <v>48236</v>
      </c>
      <c r="DB137" s="216">
        <v>-42300</v>
      </c>
      <c r="DC137" s="229">
        <v>29989</v>
      </c>
      <c r="DD137" s="229">
        <v>18736</v>
      </c>
      <c r="DE137" s="151"/>
      <c r="DG137" s="229">
        <v>-260</v>
      </c>
      <c r="DH137" s="229">
        <v>2</v>
      </c>
      <c r="DI137" s="229">
        <v>6167</v>
      </c>
      <c r="DJ137" s="229">
        <v>4043</v>
      </c>
      <c r="DK137" s="229">
        <v>0</v>
      </c>
      <c r="DL137" s="229">
        <v>0</v>
      </c>
      <c r="DM137" s="229">
        <v>2124</v>
      </c>
      <c r="DN137" s="130">
        <v>0</v>
      </c>
      <c r="DO137" s="130">
        <v>0</v>
      </c>
      <c r="DP137" s="130">
        <v>0</v>
      </c>
      <c r="DQ137" s="130">
        <v>2124</v>
      </c>
      <c r="DR137" s="130">
        <v>15894</v>
      </c>
      <c r="DS137" s="130">
        <v>5976</v>
      </c>
      <c r="DT137" s="167"/>
      <c r="DU137" s="183">
        <v>-629</v>
      </c>
      <c r="DV137" s="183">
        <v>-3225</v>
      </c>
      <c r="DW137" s="180">
        <v>4809</v>
      </c>
      <c r="DX137" s="130">
        <v>29989</v>
      </c>
      <c r="DY137" s="229">
        <v>26358</v>
      </c>
      <c r="DZ137" s="229">
        <v>1742</v>
      </c>
      <c r="EA137" s="229">
        <v>1889</v>
      </c>
      <c r="EB137" s="212">
        <v>21.5</v>
      </c>
      <c r="EC137" s="208"/>
      <c r="ED137" s="183">
        <v>92.301470588235304</v>
      </c>
      <c r="EE137" s="3">
        <v>24821</v>
      </c>
      <c r="EF137" s="183">
        <v>24915</v>
      </c>
      <c r="EG137" s="130">
        <v>24587</v>
      </c>
      <c r="EH137" s="130"/>
      <c r="EI137" s="130"/>
      <c r="EJ137" s="130"/>
      <c r="EK137" s="183">
        <v>-1931</v>
      </c>
      <c r="EL137" s="183">
        <v>0</v>
      </c>
      <c r="EM137" s="183">
        <v>283</v>
      </c>
      <c r="EN137" s="226">
        <v>-1857</v>
      </c>
      <c r="EO137" s="226">
        <v>84</v>
      </c>
      <c r="EP137" s="226">
        <v>141</v>
      </c>
      <c r="EQ137" s="226">
        <v>-1415</v>
      </c>
      <c r="ER137" s="230">
        <v>98</v>
      </c>
      <c r="ES137" s="230">
        <v>150</v>
      </c>
      <c r="ET137" s="3">
        <v>4000</v>
      </c>
      <c r="EU137" s="211">
        <v>0</v>
      </c>
      <c r="EV137" s="183">
        <v>4000</v>
      </c>
      <c r="EW137" s="183">
        <v>0</v>
      </c>
      <c r="EX137" s="130">
        <v>0</v>
      </c>
      <c r="EY137" s="183">
        <v>1000</v>
      </c>
      <c r="EZ137" s="3">
        <v>19798</v>
      </c>
      <c r="FA137" s="3">
        <v>14472</v>
      </c>
      <c r="FB137" s="3">
        <v>5326</v>
      </c>
      <c r="FC137" s="3">
        <v>0</v>
      </c>
      <c r="FD137" s="226">
        <v>20822</v>
      </c>
      <c r="FE137" s="183">
        <v>15097</v>
      </c>
      <c r="FF137" s="183">
        <v>5725</v>
      </c>
      <c r="FG137" s="183">
        <v>0</v>
      </c>
      <c r="FH137" s="230">
        <v>18598</v>
      </c>
      <c r="FI137" s="130">
        <v>12122</v>
      </c>
      <c r="FJ137" s="130">
        <v>6476</v>
      </c>
      <c r="FK137" s="130">
        <v>0</v>
      </c>
      <c r="FL137" s="29">
        <v>3560.3612771911971</v>
      </c>
      <c r="FM137" s="139">
        <v>3758.4312723556463</v>
      </c>
      <c r="FN137" s="139">
        <v>3480.9626894180569</v>
      </c>
      <c r="FO137" s="172">
        <f t="shared" si="6"/>
        <v>1225.953488372093</v>
      </c>
      <c r="FP137" s="170">
        <f t="shared" si="7"/>
        <v>156.1127579742892</v>
      </c>
      <c r="FR137" s="175"/>
      <c r="FS137" s="195"/>
      <c r="FV137" s="175">
        <v>3878</v>
      </c>
      <c r="FW137" s="2">
        <f t="shared" si="8"/>
        <v>-3878</v>
      </c>
      <c r="FZ137" s="186"/>
      <c r="GA137" s="2"/>
      <c r="GB137" s="2"/>
    </row>
    <row r="138" spans="1:184" ht="13" x14ac:dyDescent="0.3">
      <c r="A138" s="77">
        <v>434</v>
      </c>
      <c r="B138" s="75" t="s">
        <v>134</v>
      </c>
      <c r="C138" s="179">
        <v>14891</v>
      </c>
      <c r="D138" s="138"/>
      <c r="E138" s="142">
        <v>-0.32218529289572079</v>
      </c>
      <c r="F138" s="142">
        <v>55.564821408492932</v>
      </c>
      <c r="G138" s="183">
        <v>-2997.7838963132094</v>
      </c>
      <c r="H138" s="144"/>
      <c r="I138" s="186"/>
      <c r="K138" s="210">
        <v>51.005493308811076</v>
      </c>
      <c r="L138" s="143">
        <v>355.44960042978977</v>
      </c>
      <c r="M138" s="146">
        <v>15.156908279265355</v>
      </c>
      <c r="N138" s="143">
        <v>8559.7340675575851</v>
      </c>
      <c r="O138" s="138">
        <v>48741</v>
      </c>
      <c r="P138" s="143">
        <v>22494</v>
      </c>
      <c r="Q138" s="184">
        <v>110230</v>
      </c>
      <c r="R138" s="184">
        <v>-87736</v>
      </c>
      <c r="S138" s="139">
        <v>60000</v>
      </c>
      <c r="T138" s="138">
        <v>24358</v>
      </c>
      <c r="U138" s="151"/>
      <c r="W138" s="183">
        <v>-223</v>
      </c>
      <c r="X138" s="183">
        <v>1809</v>
      </c>
      <c r="Y138" s="184">
        <v>-1792</v>
      </c>
      <c r="Z138" s="130">
        <v>4970</v>
      </c>
      <c r="AA138" s="131">
        <v>0</v>
      </c>
      <c r="AB138" s="131">
        <v>5</v>
      </c>
      <c r="AC138" s="184">
        <v>-6767</v>
      </c>
      <c r="AD138" s="184">
        <v>42</v>
      </c>
      <c r="AE138" s="183">
        <v>0</v>
      </c>
      <c r="AF138" s="183">
        <v>0</v>
      </c>
      <c r="AG138" s="183">
        <v>-6725</v>
      </c>
      <c r="AH138" s="183">
        <v>11160</v>
      </c>
      <c r="AI138" s="183">
        <v>-2128</v>
      </c>
      <c r="AJ138" s="167"/>
      <c r="AK138" s="183">
        <v>2073</v>
      </c>
      <c r="AL138" s="183">
        <v>-4573</v>
      </c>
      <c r="AM138" s="180">
        <v>-14138</v>
      </c>
      <c r="AN138" s="139">
        <v>60000</v>
      </c>
      <c r="AO138" s="138">
        <v>45706</v>
      </c>
      <c r="AP138" s="184">
        <v>6689</v>
      </c>
      <c r="AQ138" s="138">
        <v>7605</v>
      </c>
      <c r="AR138" s="109">
        <v>19.75</v>
      </c>
      <c r="AS138" s="144"/>
      <c r="AT138" s="139">
        <v>279</v>
      </c>
      <c r="AU138" s="228">
        <v>14772</v>
      </c>
      <c r="AV138" s="138"/>
      <c r="AW138" s="224">
        <v>-0.16924681827665344</v>
      </c>
      <c r="AX138" s="225">
        <v>71.99032903512672</v>
      </c>
      <c r="AY138" s="139">
        <v>-4006.8372596804766</v>
      </c>
      <c r="AZ138" s="144"/>
      <c r="BA138"/>
      <c r="BC138" s="189">
        <v>40.599849849849846</v>
      </c>
      <c r="BD138" s="183">
        <v>469.26617925805579</v>
      </c>
      <c r="BE138" s="140">
        <v>18.790093201143662</v>
      </c>
      <c r="BF138" s="139">
        <v>9115.5564581640938</v>
      </c>
      <c r="BG138" s="184">
        <v>49407</v>
      </c>
      <c r="BH138" s="216">
        <v>23801</v>
      </c>
      <c r="BI138" s="216">
        <v>111731</v>
      </c>
      <c r="BJ138" s="216">
        <v>-87627</v>
      </c>
      <c r="BK138" s="216">
        <v>59292</v>
      </c>
      <c r="BL138" s="216">
        <v>24859</v>
      </c>
      <c r="BM138" s="151"/>
      <c r="BO138" s="216">
        <v>-215</v>
      </c>
      <c r="BP138" s="216">
        <v>1931</v>
      </c>
      <c r="BQ138" s="216">
        <v>-1760</v>
      </c>
      <c r="BR138" s="216">
        <v>7132</v>
      </c>
      <c r="BS138" s="216">
        <v>0</v>
      </c>
      <c r="BT138" s="216">
        <v>259</v>
      </c>
      <c r="BU138" s="216">
        <v>-9151</v>
      </c>
      <c r="BV138" s="184">
        <v>41</v>
      </c>
      <c r="BW138" s="183">
        <v>0</v>
      </c>
      <c r="BX138" s="183">
        <v>0</v>
      </c>
      <c r="BY138" s="183">
        <v>-9110</v>
      </c>
      <c r="BZ138" s="183">
        <v>2049</v>
      </c>
      <c r="CA138" s="183">
        <v>-3347</v>
      </c>
      <c r="CB138" s="167"/>
      <c r="CC138" s="183">
        <v>-2225</v>
      </c>
      <c r="CD138" s="183">
        <v>-5481</v>
      </c>
      <c r="CE138" s="180">
        <v>-14520</v>
      </c>
      <c r="CF138" s="139">
        <v>59292</v>
      </c>
      <c r="CG138" s="216">
        <v>47242</v>
      </c>
      <c r="CH138" s="216">
        <v>3899</v>
      </c>
      <c r="CI138" s="216">
        <v>8151</v>
      </c>
      <c r="CJ138" s="212">
        <v>19.75</v>
      </c>
      <c r="CK138" s="144"/>
      <c r="CL138" s="130">
        <v>264</v>
      </c>
      <c r="CM138" s="228">
        <v>14745</v>
      </c>
      <c r="CN138" s="138"/>
      <c r="CO138" s="142">
        <v>1.420806849137372</v>
      </c>
      <c r="CP138" s="142">
        <v>83.612288046362352</v>
      </c>
      <c r="CQ138" s="183">
        <v>-4581.1461512377073</v>
      </c>
      <c r="CR138" s="144"/>
      <c r="CS138"/>
      <c r="CU138" s="232">
        <v>36.576517771403822</v>
      </c>
      <c r="CV138" s="143">
        <v>1516.3106137673788</v>
      </c>
      <c r="CW138" s="146">
        <v>58.717037335501466</v>
      </c>
      <c r="CX138" s="143">
        <v>9425.7714479484566</v>
      </c>
      <c r="CY138" s="131">
        <v>46828</v>
      </c>
      <c r="CZ138" s="229">
        <v>23995</v>
      </c>
      <c r="DA138" s="229">
        <v>110103</v>
      </c>
      <c r="DB138" s="216">
        <v>-86108</v>
      </c>
      <c r="DC138" s="229">
        <v>61308</v>
      </c>
      <c r="DD138" s="229">
        <v>33491</v>
      </c>
      <c r="DE138" s="151"/>
      <c r="DG138" s="229">
        <v>-222</v>
      </c>
      <c r="DH138" s="229">
        <v>2251</v>
      </c>
      <c r="DI138" s="229">
        <v>10720</v>
      </c>
      <c r="DJ138" s="229">
        <v>6331</v>
      </c>
      <c r="DK138" s="229">
        <v>0</v>
      </c>
      <c r="DL138" s="229">
        <v>191</v>
      </c>
      <c r="DM138" s="229">
        <v>4198</v>
      </c>
      <c r="DN138" s="131">
        <v>-5059</v>
      </c>
      <c r="DO138" s="130">
        <v>5100</v>
      </c>
      <c r="DP138" s="130">
        <v>0</v>
      </c>
      <c r="DQ138" s="130">
        <v>4239</v>
      </c>
      <c r="DR138" s="130">
        <v>6289</v>
      </c>
      <c r="DS138" s="130">
        <v>7790</v>
      </c>
      <c r="DT138" s="167"/>
      <c r="DU138" s="183">
        <v>2237</v>
      </c>
      <c r="DV138" s="183">
        <v>-7476</v>
      </c>
      <c r="DW138" s="180">
        <v>-5439</v>
      </c>
      <c r="DX138" s="130">
        <v>61308</v>
      </c>
      <c r="DY138" s="229">
        <v>50192</v>
      </c>
      <c r="DZ138" s="229">
        <v>3621</v>
      </c>
      <c r="EA138" s="229">
        <v>7495</v>
      </c>
      <c r="EB138" s="212">
        <v>20.25</v>
      </c>
      <c r="EC138" s="208"/>
      <c r="ED138" s="183">
        <v>115.470588235294</v>
      </c>
      <c r="EE138" s="3">
        <v>47036</v>
      </c>
      <c r="EF138" s="183">
        <v>47215</v>
      </c>
      <c r="EG138" s="130">
        <v>48576</v>
      </c>
      <c r="EH138" s="130"/>
      <c r="EI138" s="130"/>
      <c r="EJ138" s="130">
        <v>1200</v>
      </c>
      <c r="EK138" s="183">
        <v>-12421</v>
      </c>
      <c r="EL138" s="183">
        <v>140</v>
      </c>
      <c r="EM138" s="183">
        <v>271</v>
      </c>
      <c r="EN138" s="226">
        <v>-17433</v>
      </c>
      <c r="EO138" s="226">
        <v>65</v>
      </c>
      <c r="EP138" s="226">
        <v>6195</v>
      </c>
      <c r="EQ138" s="226">
        <v>-18205</v>
      </c>
      <c r="ER138" s="230">
        <v>300</v>
      </c>
      <c r="ES138" s="230">
        <v>4676</v>
      </c>
      <c r="ET138" s="3">
        <v>8000</v>
      </c>
      <c r="EU138" s="211">
        <v>5500</v>
      </c>
      <c r="EV138" s="183">
        <v>25200</v>
      </c>
      <c r="EW138" s="183">
        <v>-500</v>
      </c>
      <c r="EX138" s="130">
        <v>28000</v>
      </c>
      <c r="EY138" s="183">
        <v>0</v>
      </c>
      <c r="EZ138" s="3">
        <v>44635</v>
      </c>
      <c r="FA138" s="3">
        <v>26308</v>
      </c>
      <c r="FB138" s="3">
        <v>18327</v>
      </c>
      <c r="FC138" s="3">
        <v>583</v>
      </c>
      <c r="FD138" s="226">
        <v>63855</v>
      </c>
      <c r="FE138" s="183">
        <v>44079</v>
      </c>
      <c r="FF138" s="183">
        <v>19776</v>
      </c>
      <c r="FG138" s="183">
        <v>583</v>
      </c>
      <c r="FH138" s="230">
        <v>84379</v>
      </c>
      <c r="FI138" s="130">
        <v>62478</v>
      </c>
      <c r="FJ138" s="130">
        <v>21901</v>
      </c>
      <c r="FK138" s="130">
        <v>3469</v>
      </c>
      <c r="FL138" s="29">
        <v>4393.9963736485124</v>
      </c>
      <c r="FM138" s="139">
        <v>5745.5997833739511</v>
      </c>
      <c r="FN138" s="139">
        <v>7157.6127500847742</v>
      </c>
      <c r="FO138" s="172">
        <f t="shared" si="6"/>
        <v>2478.6172839506171</v>
      </c>
      <c r="FP138" s="170">
        <f t="shared" si="7"/>
        <v>168.0988324144196</v>
      </c>
      <c r="FR138" s="175"/>
      <c r="FS138" s="195"/>
      <c r="FV138" s="175">
        <v>3602</v>
      </c>
      <c r="FW138" s="2">
        <f t="shared" si="8"/>
        <v>-3602</v>
      </c>
      <c r="FZ138" s="186"/>
      <c r="GA138" s="2"/>
      <c r="GB138" s="2"/>
    </row>
    <row r="139" spans="1:184" ht="13" x14ac:dyDescent="0.3">
      <c r="A139" s="77">
        <v>435</v>
      </c>
      <c r="B139" s="75" t="s">
        <v>135</v>
      </c>
      <c r="C139" s="179">
        <v>707</v>
      </c>
      <c r="D139" s="138"/>
      <c r="E139" s="142">
        <v>1.5454545454545454</v>
      </c>
      <c r="F139" s="142">
        <v>46.378874130297277</v>
      </c>
      <c r="G139" s="183">
        <v>-2332.3903818953322</v>
      </c>
      <c r="H139" s="144"/>
      <c r="I139" s="186"/>
      <c r="K139" s="210">
        <v>62.688597576057383</v>
      </c>
      <c r="L139" s="143">
        <v>1616.6902404526168</v>
      </c>
      <c r="M139" s="146">
        <v>63.898759381222234</v>
      </c>
      <c r="N139" s="143">
        <v>9234.7949080622348</v>
      </c>
      <c r="O139" s="138">
        <v>2190</v>
      </c>
      <c r="P139" s="143">
        <v>913</v>
      </c>
      <c r="Q139" s="184">
        <v>5873</v>
      </c>
      <c r="R139" s="184">
        <v>-4960</v>
      </c>
      <c r="S139" s="139">
        <v>2452</v>
      </c>
      <c r="T139" s="138">
        <v>2959</v>
      </c>
      <c r="U139" s="151"/>
      <c r="W139" s="183">
        <v>-9</v>
      </c>
      <c r="X139" s="183">
        <v>20</v>
      </c>
      <c r="Y139" s="184">
        <v>462</v>
      </c>
      <c r="Z139" s="130">
        <v>228</v>
      </c>
      <c r="AA139" s="131">
        <v>70</v>
      </c>
      <c r="AB139" s="130">
        <v>0</v>
      </c>
      <c r="AC139" s="184">
        <v>304</v>
      </c>
      <c r="AD139" s="183">
        <v>0</v>
      </c>
      <c r="AE139" s="183">
        <v>0</v>
      </c>
      <c r="AF139" s="183">
        <v>0</v>
      </c>
      <c r="AG139" s="183">
        <v>304</v>
      </c>
      <c r="AH139" s="183">
        <v>2979</v>
      </c>
      <c r="AI139" s="183">
        <v>532</v>
      </c>
      <c r="AJ139" s="167"/>
      <c r="AK139" s="183">
        <v>117</v>
      </c>
      <c r="AL139" s="183">
        <v>-294</v>
      </c>
      <c r="AM139" s="180">
        <v>184</v>
      </c>
      <c r="AN139" s="139">
        <v>2452</v>
      </c>
      <c r="AO139" s="138">
        <v>1589</v>
      </c>
      <c r="AP139" s="184">
        <v>284</v>
      </c>
      <c r="AQ139" s="138">
        <v>579</v>
      </c>
      <c r="AR139" s="109">
        <v>18.5</v>
      </c>
      <c r="AS139" s="144"/>
      <c r="AT139" s="139">
        <v>15</v>
      </c>
      <c r="AU139" s="228">
        <v>690</v>
      </c>
      <c r="AV139" s="138"/>
      <c r="AW139" s="224">
        <v>0.26295828065739568</v>
      </c>
      <c r="AX139" s="225">
        <v>40.51588549858446</v>
      </c>
      <c r="AY139" s="139">
        <v>-2355.072463768116</v>
      </c>
      <c r="AZ139" s="144"/>
      <c r="BA139"/>
      <c r="BC139" s="189">
        <v>49.986730360934182</v>
      </c>
      <c r="BD139" s="183">
        <v>1173.913043478261</v>
      </c>
      <c r="BE139" s="140">
        <v>45.130514425278584</v>
      </c>
      <c r="BF139" s="139">
        <v>9494.2028985507241</v>
      </c>
      <c r="BG139" s="184">
        <v>2305</v>
      </c>
      <c r="BH139" s="216">
        <v>923</v>
      </c>
      <c r="BI139" s="216">
        <v>6323</v>
      </c>
      <c r="BJ139" s="216">
        <v>-5400</v>
      </c>
      <c r="BK139" s="216">
        <v>2646</v>
      </c>
      <c r="BL139" s="216">
        <v>2789</v>
      </c>
      <c r="BM139" s="151"/>
      <c r="BO139" s="216">
        <v>-7</v>
      </c>
      <c r="BP139" s="216">
        <v>29</v>
      </c>
      <c r="BQ139" s="216">
        <v>57</v>
      </c>
      <c r="BR139" s="216">
        <v>248</v>
      </c>
      <c r="BS139" s="216">
        <v>0</v>
      </c>
      <c r="BT139" s="216">
        <v>1111</v>
      </c>
      <c r="BU139" s="216">
        <v>-1302</v>
      </c>
      <c r="BV139" s="183">
        <v>0</v>
      </c>
      <c r="BW139" s="183">
        <v>0</v>
      </c>
      <c r="BX139" s="183">
        <v>0</v>
      </c>
      <c r="BY139" s="183">
        <v>-1302</v>
      </c>
      <c r="BZ139" s="183">
        <v>1677</v>
      </c>
      <c r="CA139" s="183">
        <v>70</v>
      </c>
      <c r="CB139" s="167"/>
      <c r="CC139" s="183">
        <v>1</v>
      </c>
      <c r="CD139" s="183">
        <v>-127</v>
      </c>
      <c r="CE139" s="180">
        <v>44</v>
      </c>
      <c r="CF139" s="139">
        <v>2646</v>
      </c>
      <c r="CG139" s="216">
        <v>1752</v>
      </c>
      <c r="CH139" s="216">
        <v>309</v>
      </c>
      <c r="CI139" s="216">
        <v>585</v>
      </c>
      <c r="CJ139" s="212">
        <v>18.5</v>
      </c>
      <c r="CK139" s="144"/>
      <c r="CL139" s="130">
        <v>190</v>
      </c>
      <c r="CM139" s="228">
        <v>699</v>
      </c>
      <c r="CN139" s="138"/>
      <c r="CO139" s="142">
        <v>4.881720430107527</v>
      </c>
      <c r="CP139" s="142">
        <v>52.324195470798571</v>
      </c>
      <c r="CQ139" s="183">
        <v>-2659.5135908440629</v>
      </c>
      <c r="CR139" s="144"/>
      <c r="CS139"/>
      <c r="CU139" s="232">
        <v>55.001244090569791</v>
      </c>
      <c r="CV139" s="143">
        <v>1742.4892703862661</v>
      </c>
      <c r="CW139" s="146">
        <v>72.916188289322619</v>
      </c>
      <c r="CX139" s="143">
        <v>8722.460658082975</v>
      </c>
      <c r="CY139" s="131">
        <v>2137</v>
      </c>
      <c r="CZ139" s="229">
        <v>1108</v>
      </c>
      <c r="DA139" s="229">
        <v>5840</v>
      </c>
      <c r="DB139" s="216">
        <v>-4732</v>
      </c>
      <c r="DC139" s="229">
        <v>2650</v>
      </c>
      <c r="DD139" s="229">
        <v>2954</v>
      </c>
      <c r="DE139" s="151"/>
      <c r="DG139" s="229">
        <v>-19</v>
      </c>
      <c r="DH139" s="229">
        <v>33</v>
      </c>
      <c r="DI139" s="229">
        <v>886</v>
      </c>
      <c r="DJ139" s="229">
        <v>233</v>
      </c>
      <c r="DK139" s="229">
        <v>0</v>
      </c>
      <c r="DL139" s="229">
        <v>0</v>
      </c>
      <c r="DM139" s="229">
        <v>653</v>
      </c>
      <c r="DN139" s="130">
        <v>0</v>
      </c>
      <c r="DO139" s="130">
        <v>0</v>
      </c>
      <c r="DP139" s="130">
        <v>0</v>
      </c>
      <c r="DQ139" s="130">
        <v>653</v>
      </c>
      <c r="DR139" s="130">
        <v>2331</v>
      </c>
      <c r="DS139" s="130">
        <v>-218</v>
      </c>
      <c r="DT139" s="167"/>
      <c r="DU139" s="183">
        <v>-294</v>
      </c>
      <c r="DV139" s="183">
        <v>-164</v>
      </c>
      <c r="DW139" s="180">
        <v>-258</v>
      </c>
      <c r="DX139" s="130">
        <v>2650</v>
      </c>
      <c r="DY139" s="229">
        <v>1767</v>
      </c>
      <c r="DZ139" s="229">
        <v>348</v>
      </c>
      <c r="EA139" s="229">
        <v>535</v>
      </c>
      <c r="EB139" s="212">
        <v>18.5</v>
      </c>
      <c r="EC139" s="208"/>
      <c r="ED139" s="183">
        <v>6</v>
      </c>
      <c r="EE139" s="3">
        <v>2985</v>
      </c>
      <c r="EF139" s="183">
        <v>3253</v>
      </c>
      <c r="EG139" s="130">
        <v>2996</v>
      </c>
      <c r="EH139" s="130"/>
      <c r="EI139" s="130"/>
      <c r="EJ139" s="130"/>
      <c r="EK139" s="183">
        <v>-347</v>
      </c>
      <c r="EL139" s="183">
        <v>-2</v>
      </c>
      <c r="EM139" s="183">
        <v>1</v>
      </c>
      <c r="EN139" s="226">
        <v>-54</v>
      </c>
      <c r="EO139" s="226">
        <v>0</v>
      </c>
      <c r="EP139" s="226">
        <v>28</v>
      </c>
      <c r="EQ139" s="226">
        <v>-69</v>
      </c>
      <c r="ER139" s="230">
        <v>1</v>
      </c>
      <c r="ES139" s="230">
        <v>28</v>
      </c>
      <c r="ET139" s="3">
        <v>147</v>
      </c>
      <c r="EU139" s="211">
        <v>0</v>
      </c>
      <c r="EV139" s="183">
        <v>0</v>
      </c>
      <c r="EW139" s="183">
        <v>0</v>
      </c>
      <c r="EX139" s="130">
        <v>1100</v>
      </c>
      <c r="EY139" s="183">
        <v>0</v>
      </c>
      <c r="EZ139" s="3">
        <v>2087</v>
      </c>
      <c r="FA139" s="3">
        <v>1977</v>
      </c>
      <c r="FB139" s="3">
        <v>110</v>
      </c>
      <c r="FC139" s="3">
        <v>94</v>
      </c>
      <c r="FD139" s="226">
        <v>1959</v>
      </c>
      <c r="FE139" s="183">
        <v>1832</v>
      </c>
      <c r="FF139" s="183">
        <v>127</v>
      </c>
      <c r="FG139" s="183">
        <v>144</v>
      </c>
      <c r="FH139" s="230">
        <v>2896</v>
      </c>
      <c r="FI139" s="130">
        <v>2695</v>
      </c>
      <c r="FJ139" s="130">
        <v>201</v>
      </c>
      <c r="FK139" s="130">
        <v>144</v>
      </c>
      <c r="FL139" s="29">
        <v>4681.7538896746819</v>
      </c>
      <c r="FM139" s="139">
        <v>5601.4492753623181</v>
      </c>
      <c r="FN139" s="139">
        <v>7130.1859799713875</v>
      </c>
      <c r="FO139" s="172">
        <f t="shared" si="6"/>
        <v>95.513513513513516</v>
      </c>
      <c r="FP139" s="170">
        <f t="shared" si="7"/>
        <v>136.64308084908944</v>
      </c>
      <c r="FR139" s="175"/>
      <c r="FS139" s="195"/>
      <c r="FV139" s="175">
        <v>138</v>
      </c>
      <c r="FW139" s="2">
        <f t="shared" si="8"/>
        <v>-138</v>
      </c>
      <c r="FZ139" s="186"/>
      <c r="GA139" s="2"/>
      <c r="GB139" s="2"/>
    </row>
    <row r="140" spans="1:184" ht="13" x14ac:dyDescent="0.3">
      <c r="A140" s="77">
        <v>436</v>
      </c>
      <c r="B140" s="75" t="s">
        <v>136</v>
      </c>
      <c r="C140" s="179">
        <v>2052</v>
      </c>
      <c r="D140" s="138"/>
      <c r="E140" s="142">
        <v>2.2903225806451615</v>
      </c>
      <c r="F140" s="142">
        <v>63.3781996421069</v>
      </c>
      <c r="G140" s="183">
        <v>-3359.6491228070176</v>
      </c>
      <c r="H140" s="144"/>
      <c r="I140" s="186"/>
      <c r="K140" s="210">
        <v>34.55098934550989</v>
      </c>
      <c r="L140" s="143">
        <v>153.50877192982458</v>
      </c>
      <c r="M140" s="146">
        <v>8.0939809926082376</v>
      </c>
      <c r="N140" s="143">
        <v>6922.5146198830407</v>
      </c>
      <c r="O140" s="138">
        <v>3813</v>
      </c>
      <c r="P140" s="143">
        <v>1049</v>
      </c>
      <c r="Q140" s="184">
        <v>11862</v>
      </c>
      <c r="R140" s="184">
        <v>-10813</v>
      </c>
      <c r="S140" s="139">
        <v>5704</v>
      </c>
      <c r="T140" s="138">
        <v>6100</v>
      </c>
      <c r="U140" s="151"/>
      <c r="W140" s="183">
        <v>-42</v>
      </c>
      <c r="X140" s="183">
        <v>2</v>
      </c>
      <c r="Y140" s="184">
        <v>951</v>
      </c>
      <c r="Z140" s="130">
        <v>885</v>
      </c>
      <c r="AA140" s="130">
        <v>0</v>
      </c>
      <c r="AB140" s="130">
        <v>0</v>
      </c>
      <c r="AC140" s="184">
        <v>66</v>
      </c>
      <c r="AD140" s="184">
        <v>85</v>
      </c>
      <c r="AE140" s="183">
        <v>0</v>
      </c>
      <c r="AF140" s="183">
        <v>0</v>
      </c>
      <c r="AG140" s="183">
        <v>151</v>
      </c>
      <c r="AH140" s="183">
        <v>581</v>
      </c>
      <c r="AI140" s="183">
        <v>939</v>
      </c>
      <c r="AJ140" s="167"/>
      <c r="AK140" s="183">
        <v>-342</v>
      </c>
      <c r="AL140" s="183">
        <v>-391</v>
      </c>
      <c r="AM140" s="180">
        <v>-909</v>
      </c>
      <c r="AN140" s="139">
        <v>5704</v>
      </c>
      <c r="AO140" s="138">
        <v>5255</v>
      </c>
      <c r="AP140" s="184">
        <v>159</v>
      </c>
      <c r="AQ140" s="138">
        <v>290</v>
      </c>
      <c r="AR140" s="109">
        <v>21</v>
      </c>
      <c r="AS140" s="144"/>
      <c r="AT140" s="139">
        <v>54</v>
      </c>
      <c r="AU140" s="228">
        <v>2020</v>
      </c>
      <c r="AV140" s="138"/>
      <c r="AW140" s="224">
        <v>0.97560975609756095</v>
      </c>
      <c r="AX140" s="225">
        <v>63.425129087779688</v>
      </c>
      <c r="AY140" s="139">
        <v>-3214.8514851485147</v>
      </c>
      <c r="AZ140" s="144"/>
      <c r="BA140"/>
      <c r="BC140" s="189">
        <v>35.947469951031309</v>
      </c>
      <c r="BD140" s="183">
        <v>518.81188118811883</v>
      </c>
      <c r="BE140" s="140">
        <v>29.798239464049232</v>
      </c>
      <c r="BF140" s="139">
        <v>6354.9504950495048</v>
      </c>
      <c r="BG140" s="184">
        <v>4023</v>
      </c>
      <c r="BH140" s="216">
        <v>721</v>
      </c>
      <c r="BI140" s="216">
        <v>11866</v>
      </c>
      <c r="BJ140" s="216">
        <v>-11145</v>
      </c>
      <c r="BK140" s="216">
        <v>5923</v>
      </c>
      <c r="BL140" s="216">
        <v>6138</v>
      </c>
      <c r="BM140" s="151"/>
      <c r="BO140" s="216">
        <v>-36</v>
      </c>
      <c r="BP140" s="216">
        <v>3</v>
      </c>
      <c r="BQ140" s="216">
        <v>883</v>
      </c>
      <c r="BR140" s="216">
        <v>577</v>
      </c>
      <c r="BS140" s="216">
        <v>0</v>
      </c>
      <c r="BT140" s="216">
        <v>0</v>
      </c>
      <c r="BU140" s="216">
        <v>306</v>
      </c>
      <c r="BV140" s="184">
        <v>85</v>
      </c>
      <c r="BW140" s="183">
        <v>-300</v>
      </c>
      <c r="BX140" s="183">
        <v>0</v>
      </c>
      <c r="BY140" s="183">
        <v>91</v>
      </c>
      <c r="BZ140" s="183">
        <v>672</v>
      </c>
      <c r="CA140" s="183">
        <v>866</v>
      </c>
      <c r="CB140" s="167"/>
      <c r="CC140" s="183">
        <v>372</v>
      </c>
      <c r="CD140" s="183">
        <v>-434</v>
      </c>
      <c r="CE140" s="180">
        <v>405</v>
      </c>
      <c r="CF140" s="139">
        <v>5923</v>
      </c>
      <c r="CG140" s="216">
        <v>5459</v>
      </c>
      <c r="CH140" s="216">
        <v>157</v>
      </c>
      <c r="CI140" s="216">
        <v>307</v>
      </c>
      <c r="CJ140" s="212">
        <v>21</v>
      </c>
      <c r="CK140" s="144"/>
      <c r="CL140" s="130">
        <v>46</v>
      </c>
      <c r="CM140" s="228">
        <v>2036</v>
      </c>
      <c r="CN140" s="138"/>
      <c r="CO140" s="142">
        <v>4.472131147540984</v>
      </c>
      <c r="CP140" s="142">
        <v>55.426820152489164</v>
      </c>
      <c r="CQ140" s="183">
        <v>-2783.3988212180748</v>
      </c>
      <c r="CR140" s="144"/>
      <c r="CS140"/>
      <c r="CU140" s="232">
        <v>38.510178901912397</v>
      </c>
      <c r="CV140" s="143">
        <v>518.66404715127703</v>
      </c>
      <c r="CW140" s="146">
        <v>29.937087378640776</v>
      </c>
      <c r="CX140" s="143">
        <v>6323.6738703339879</v>
      </c>
      <c r="CY140" s="131">
        <v>4135</v>
      </c>
      <c r="CZ140" s="229">
        <v>724</v>
      </c>
      <c r="DA140" s="229">
        <v>12020</v>
      </c>
      <c r="DB140" s="216">
        <v>-11296</v>
      </c>
      <c r="DC140" s="229">
        <v>5861</v>
      </c>
      <c r="DD140" s="229">
        <v>6793</v>
      </c>
      <c r="DE140" s="151"/>
      <c r="DG140" s="229">
        <v>-30</v>
      </c>
      <c r="DH140" s="229">
        <v>5</v>
      </c>
      <c r="DI140" s="229">
        <v>1333</v>
      </c>
      <c r="DJ140" s="229">
        <v>1184</v>
      </c>
      <c r="DK140" s="229">
        <v>0</v>
      </c>
      <c r="DL140" s="229">
        <v>0</v>
      </c>
      <c r="DM140" s="229">
        <v>149</v>
      </c>
      <c r="DN140" s="131">
        <v>85</v>
      </c>
      <c r="DO140" s="130">
        <v>-150</v>
      </c>
      <c r="DP140" s="130">
        <v>0</v>
      </c>
      <c r="DQ140" s="130">
        <v>84</v>
      </c>
      <c r="DR140" s="130">
        <v>756</v>
      </c>
      <c r="DS140" s="130">
        <v>1267</v>
      </c>
      <c r="DT140" s="167"/>
      <c r="DU140" s="183">
        <v>-127</v>
      </c>
      <c r="DV140" s="183">
        <v>-274</v>
      </c>
      <c r="DW140" s="180">
        <v>808</v>
      </c>
      <c r="DX140" s="130">
        <v>5861</v>
      </c>
      <c r="DY140" s="229">
        <v>5412</v>
      </c>
      <c r="DZ140" s="229">
        <v>172</v>
      </c>
      <c r="EA140" s="229">
        <v>277</v>
      </c>
      <c r="EB140" s="212">
        <v>21</v>
      </c>
      <c r="EC140" s="208"/>
      <c r="ED140" s="183">
        <v>156.77205882352899</v>
      </c>
      <c r="EE140" s="3">
        <v>6642</v>
      </c>
      <c r="EF140" s="183">
        <v>6750</v>
      </c>
      <c r="EG140" s="130">
        <v>6825</v>
      </c>
      <c r="EH140" s="130"/>
      <c r="EI140" s="130"/>
      <c r="EJ140" s="130"/>
      <c r="EK140" s="183">
        <v>-1906</v>
      </c>
      <c r="EL140" s="183">
        <v>0</v>
      </c>
      <c r="EM140" s="183">
        <v>58</v>
      </c>
      <c r="EN140" s="226">
        <v>-493</v>
      </c>
      <c r="EO140" s="226">
        <v>0</v>
      </c>
      <c r="EP140" s="226">
        <v>32</v>
      </c>
      <c r="EQ140" s="226">
        <v>-550</v>
      </c>
      <c r="ER140" s="230">
        <v>0</v>
      </c>
      <c r="ES140" s="230">
        <v>91</v>
      </c>
      <c r="ET140" s="3">
        <v>1280</v>
      </c>
      <c r="EU140" s="211">
        <v>0</v>
      </c>
      <c r="EV140" s="183">
        <v>0</v>
      </c>
      <c r="EW140" s="183">
        <v>200</v>
      </c>
      <c r="EX140" s="130">
        <v>0</v>
      </c>
      <c r="EY140" s="183">
        <v>-700</v>
      </c>
      <c r="EZ140" s="3">
        <v>7176</v>
      </c>
      <c r="FA140" s="3">
        <v>3242</v>
      </c>
      <c r="FB140" s="3">
        <v>3934</v>
      </c>
      <c r="FC140" s="3">
        <v>0</v>
      </c>
      <c r="FD140" s="226">
        <v>6942</v>
      </c>
      <c r="FE140" s="183">
        <v>2968</v>
      </c>
      <c r="FF140" s="183">
        <v>3974</v>
      </c>
      <c r="FG140" s="183">
        <v>0</v>
      </c>
      <c r="FH140" s="230">
        <v>5967</v>
      </c>
      <c r="FI140" s="130">
        <v>2761</v>
      </c>
      <c r="FJ140" s="130">
        <v>3206</v>
      </c>
      <c r="FK140" s="130">
        <v>0</v>
      </c>
      <c r="FL140" s="29">
        <v>4551.1695906432742</v>
      </c>
      <c r="FM140" s="139">
        <v>4573.7623762376234</v>
      </c>
      <c r="FN140" s="139">
        <v>4351.6699410609044</v>
      </c>
      <c r="FO140" s="172">
        <f t="shared" si="6"/>
        <v>257.71428571428572</v>
      </c>
      <c r="FP140" s="170">
        <f t="shared" si="7"/>
        <v>126.57872579287118</v>
      </c>
      <c r="FR140" s="175"/>
      <c r="FS140" s="195"/>
      <c r="FV140" s="175">
        <v>318</v>
      </c>
      <c r="FW140" s="2">
        <f t="shared" si="8"/>
        <v>-318</v>
      </c>
      <c r="FZ140" s="186"/>
      <c r="GA140" s="2"/>
      <c r="GB140" s="2"/>
    </row>
    <row r="141" spans="1:184" ht="13" x14ac:dyDescent="0.3">
      <c r="A141" s="77">
        <v>440</v>
      </c>
      <c r="B141" s="75" t="s">
        <v>137</v>
      </c>
      <c r="C141" s="179">
        <v>5340</v>
      </c>
      <c r="D141" s="138"/>
      <c r="E141" s="142">
        <v>2.323051948051948</v>
      </c>
      <c r="F141" s="142">
        <v>101.46912659957759</v>
      </c>
      <c r="G141" s="183">
        <v>-3009.3632958801495</v>
      </c>
      <c r="H141" s="144"/>
      <c r="I141" s="186"/>
      <c r="K141" s="210">
        <v>42.531627995765582</v>
      </c>
      <c r="L141" s="143">
        <v>2196.8164794007489</v>
      </c>
      <c r="M141" s="146">
        <v>121.02360090446579</v>
      </c>
      <c r="N141" s="143">
        <v>6625.4681647940079</v>
      </c>
      <c r="O141" s="138">
        <v>10261</v>
      </c>
      <c r="P141" s="143">
        <v>3791</v>
      </c>
      <c r="Q141" s="184">
        <v>30616</v>
      </c>
      <c r="R141" s="184">
        <v>-26825</v>
      </c>
      <c r="S141" s="139">
        <v>15055</v>
      </c>
      <c r="T141" s="138">
        <v>13350</v>
      </c>
      <c r="U141" s="151"/>
      <c r="W141" s="183">
        <v>128</v>
      </c>
      <c r="X141" s="183">
        <v>-280</v>
      </c>
      <c r="Y141" s="184">
        <v>1428</v>
      </c>
      <c r="Z141" s="130">
        <v>1414</v>
      </c>
      <c r="AA141" s="131">
        <v>0</v>
      </c>
      <c r="AB141" s="130">
        <v>0</v>
      </c>
      <c r="AC141" s="184">
        <v>14</v>
      </c>
      <c r="AD141" s="184">
        <v>0</v>
      </c>
      <c r="AE141" s="184">
        <v>0</v>
      </c>
      <c r="AF141" s="183">
        <v>-6</v>
      </c>
      <c r="AG141" s="183">
        <v>8</v>
      </c>
      <c r="AH141" s="183">
        <v>16223</v>
      </c>
      <c r="AI141" s="183">
        <v>1354</v>
      </c>
      <c r="AJ141" s="167"/>
      <c r="AK141" s="183">
        <v>-679</v>
      </c>
      <c r="AL141" s="183">
        <v>-613</v>
      </c>
      <c r="AM141" s="180">
        <v>-1984</v>
      </c>
      <c r="AN141" s="139">
        <v>15055</v>
      </c>
      <c r="AO141" s="138">
        <v>13671</v>
      </c>
      <c r="AP141" s="184">
        <v>352</v>
      </c>
      <c r="AQ141" s="138">
        <v>1032</v>
      </c>
      <c r="AR141" s="109">
        <v>19.5</v>
      </c>
      <c r="AS141" s="144"/>
      <c r="AT141" s="139">
        <v>128</v>
      </c>
      <c r="AU141" s="228">
        <v>5417</v>
      </c>
      <c r="AV141" s="138"/>
      <c r="AW141" s="224">
        <v>9.9016903599971715E-2</v>
      </c>
      <c r="AX141" s="225">
        <v>101.46061235714723</v>
      </c>
      <c r="AY141" s="139">
        <v>-3060.7347240169834</v>
      </c>
      <c r="AZ141" s="144"/>
      <c r="BA141"/>
      <c r="BC141" s="189">
        <v>40.529958749912609</v>
      </c>
      <c r="BD141" s="183">
        <v>2159.6824810780877</v>
      </c>
      <c r="BE141" s="140">
        <v>124.47558664917651</v>
      </c>
      <c r="BF141" s="139">
        <v>6332.8410559350195</v>
      </c>
      <c r="BG141" s="184">
        <v>10644</v>
      </c>
      <c r="BH141" s="216">
        <v>3815</v>
      </c>
      <c r="BI141" s="216">
        <v>32421</v>
      </c>
      <c r="BJ141" s="216">
        <v>-28606</v>
      </c>
      <c r="BK141" s="216">
        <v>15769</v>
      </c>
      <c r="BL141" s="216">
        <v>13142</v>
      </c>
      <c r="BM141" s="151"/>
      <c r="BO141" s="216">
        <v>135</v>
      </c>
      <c r="BP141" s="216">
        <v>-90</v>
      </c>
      <c r="BQ141" s="216">
        <v>350</v>
      </c>
      <c r="BR141" s="216">
        <v>1670</v>
      </c>
      <c r="BS141" s="216">
        <v>0</v>
      </c>
      <c r="BT141" s="216">
        <v>0</v>
      </c>
      <c r="BU141" s="216">
        <v>-1320</v>
      </c>
      <c r="BV141" s="184">
        <v>0</v>
      </c>
      <c r="BW141" s="184">
        <v>0</v>
      </c>
      <c r="BX141" s="183">
        <v>-2</v>
      </c>
      <c r="BY141" s="183">
        <v>-1322</v>
      </c>
      <c r="BZ141" s="183">
        <v>14901</v>
      </c>
      <c r="CA141" s="183">
        <v>476</v>
      </c>
      <c r="CB141" s="167"/>
      <c r="CC141" s="183">
        <v>-56</v>
      </c>
      <c r="CD141" s="183">
        <v>-100</v>
      </c>
      <c r="CE141" s="180">
        <v>-514</v>
      </c>
      <c r="CF141" s="139">
        <v>15769</v>
      </c>
      <c r="CG141" s="216">
        <v>14267</v>
      </c>
      <c r="CH141" s="216">
        <v>348</v>
      </c>
      <c r="CI141" s="216">
        <v>1154</v>
      </c>
      <c r="CJ141" s="212">
        <v>19.5</v>
      </c>
      <c r="CK141" s="144"/>
      <c r="CL141" s="130">
        <v>205</v>
      </c>
      <c r="CM141" s="228">
        <v>5534</v>
      </c>
      <c r="CN141" s="138"/>
      <c r="CO141" s="142">
        <v>57.981132075471699</v>
      </c>
      <c r="CP141" s="142">
        <v>98.075223682757098</v>
      </c>
      <c r="CQ141" s="183">
        <v>-3222.0816769063968</v>
      </c>
      <c r="CR141" s="144"/>
      <c r="CS141"/>
      <c r="CU141" s="232">
        <v>40.213517340146794</v>
      </c>
      <c r="CV141" s="143">
        <v>2345.3198409830143</v>
      </c>
      <c r="CW141" s="146">
        <v>122.32009605205401</v>
      </c>
      <c r="CX141" s="143">
        <v>6998.3736899168771</v>
      </c>
      <c r="CY141" s="131">
        <v>10651</v>
      </c>
      <c r="CZ141" s="229">
        <v>3674</v>
      </c>
      <c r="DA141" s="229">
        <v>32982</v>
      </c>
      <c r="DB141" s="216">
        <v>-29308</v>
      </c>
      <c r="DC141" s="229">
        <v>17011</v>
      </c>
      <c r="DD141" s="229">
        <v>15527</v>
      </c>
      <c r="DE141" s="151"/>
      <c r="DG141" s="229">
        <v>122</v>
      </c>
      <c r="DH141" s="229">
        <v>-282</v>
      </c>
      <c r="DI141" s="229">
        <v>3070</v>
      </c>
      <c r="DJ141" s="229">
        <v>1548</v>
      </c>
      <c r="DK141" s="229">
        <v>0</v>
      </c>
      <c r="DL141" s="229">
        <v>0</v>
      </c>
      <c r="DM141" s="229">
        <v>1522</v>
      </c>
      <c r="DN141" s="131">
        <v>0</v>
      </c>
      <c r="DO141" s="131">
        <v>0</v>
      </c>
      <c r="DP141" s="130">
        <v>0</v>
      </c>
      <c r="DQ141" s="130">
        <v>1522</v>
      </c>
      <c r="DR141" s="130">
        <v>16423</v>
      </c>
      <c r="DS141" s="130">
        <v>3246</v>
      </c>
      <c r="DT141" s="167"/>
      <c r="DU141" s="183">
        <v>220</v>
      </c>
      <c r="DV141" s="183">
        <v>-50</v>
      </c>
      <c r="DW141" s="180">
        <v>-1251</v>
      </c>
      <c r="DX141" s="130">
        <v>17011</v>
      </c>
      <c r="DY141" s="229">
        <v>15436</v>
      </c>
      <c r="DZ141" s="229">
        <v>410</v>
      </c>
      <c r="EA141" s="229">
        <v>1165</v>
      </c>
      <c r="EB141" s="212">
        <v>19.5</v>
      </c>
      <c r="EC141" s="208"/>
      <c r="ED141" s="183">
        <v>207.13970588235301</v>
      </c>
      <c r="EE141" s="3">
        <v>17190</v>
      </c>
      <c r="EF141" s="183">
        <v>18775</v>
      </c>
      <c r="EG141" s="130">
        <v>19176</v>
      </c>
      <c r="EH141" s="130"/>
      <c r="EI141" s="130"/>
      <c r="EJ141" s="130"/>
      <c r="EK141" s="183">
        <v>-3651</v>
      </c>
      <c r="EL141" s="183">
        <v>151</v>
      </c>
      <c r="EM141" s="183">
        <v>162</v>
      </c>
      <c r="EN141" s="226">
        <v>-1364</v>
      </c>
      <c r="EO141" s="226">
        <v>136</v>
      </c>
      <c r="EP141" s="226">
        <v>238</v>
      </c>
      <c r="EQ141" s="226">
        <v>-5207</v>
      </c>
      <c r="ER141" s="230">
        <v>478</v>
      </c>
      <c r="ES141" s="230">
        <v>232</v>
      </c>
      <c r="ET141" s="3">
        <v>0</v>
      </c>
      <c r="EU141" s="211">
        <v>3065</v>
      </c>
      <c r="EV141" s="183">
        <v>0</v>
      </c>
      <c r="EW141" s="183">
        <v>-125</v>
      </c>
      <c r="EX141" s="130">
        <v>0</v>
      </c>
      <c r="EY141" s="183">
        <v>2050</v>
      </c>
      <c r="EZ141" s="3">
        <v>25775</v>
      </c>
      <c r="FA141" s="3">
        <v>150</v>
      </c>
      <c r="FB141" s="3">
        <v>25625</v>
      </c>
      <c r="FC141" s="3">
        <v>570</v>
      </c>
      <c r="FD141" s="226">
        <v>25550</v>
      </c>
      <c r="FE141" s="183">
        <v>50</v>
      </c>
      <c r="FF141" s="183">
        <v>25500</v>
      </c>
      <c r="FG141" s="183">
        <v>570</v>
      </c>
      <c r="FH141" s="230">
        <v>27550</v>
      </c>
      <c r="FI141" s="130">
        <v>0</v>
      </c>
      <c r="FJ141" s="130">
        <v>27550</v>
      </c>
      <c r="FK141" s="130">
        <v>570</v>
      </c>
      <c r="FL141" s="29">
        <v>7738.2022471910113</v>
      </c>
      <c r="FM141" s="139">
        <v>7942.0343363485326</v>
      </c>
      <c r="FN141" s="139">
        <v>8155.9450668594145</v>
      </c>
      <c r="FO141" s="172">
        <f t="shared" si="6"/>
        <v>791.58974358974353</v>
      </c>
      <c r="FP141" s="170">
        <f t="shared" si="7"/>
        <v>143.04115352181847</v>
      </c>
      <c r="FR141" s="175"/>
      <c r="FS141" s="195"/>
      <c r="FV141" s="175">
        <v>1337</v>
      </c>
      <c r="FW141" s="2">
        <f t="shared" si="8"/>
        <v>-1337</v>
      </c>
      <c r="FZ141" s="186"/>
      <c r="GA141" s="2"/>
      <c r="GB141" s="2"/>
    </row>
    <row r="142" spans="1:184" ht="13" x14ac:dyDescent="0.3">
      <c r="A142" s="77">
        <v>441</v>
      </c>
      <c r="B142" s="75" t="s">
        <v>138</v>
      </c>
      <c r="C142" s="179">
        <v>4662</v>
      </c>
      <c r="D142" s="138"/>
      <c r="E142" s="142">
        <v>-23.257142857142856</v>
      </c>
      <c r="F142" s="142">
        <v>20.499292240380903</v>
      </c>
      <c r="G142" s="183">
        <v>1873.015873015873</v>
      </c>
      <c r="H142" s="144"/>
      <c r="I142" s="186"/>
      <c r="K142" s="210">
        <v>83.261065376317063</v>
      </c>
      <c r="L142" s="143">
        <v>2814.6718146718144</v>
      </c>
      <c r="M142" s="146">
        <v>133.64762675447164</v>
      </c>
      <c r="N142" s="143">
        <v>7687.0441870441873</v>
      </c>
      <c r="O142" s="138">
        <v>7487</v>
      </c>
      <c r="P142" s="143">
        <v>3108</v>
      </c>
      <c r="Q142" s="184">
        <v>32194</v>
      </c>
      <c r="R142" s="184">
        <v>-29086</v>
      </c>
      <c r="S142" s="139">
        <v>16301</v>
      </c>
      <c r="T142" s="138">
        <v>11675</v>
      </c>
      <c r="U142" s="151"/>
      <c r="W142" s="183">
        <v>134</v>
      </c>
      <c r="X142" s="183">
        <v>137</v>
      </c>
      <c r="Y142" s="184">
        <v>-839</v>
      </c>
      <c r="Z142" s="130">
        <v>2098</v>
      </c>
      <c r="AA142" s="130">
        <v>212</v>
      </c>
      <c r="AB142" s="130">
        <v>0</v>
      </c>
      <c r="AC142" s="184">
        <v>-2725</v>
      </c>
      <c r="AD142" s="183">
        <v>912</v>
      </c>
      <c r="AE142" s="183">
        <v>0</v>
      </c>
      <c r="AF142" s="183">
        <v>0</v>
      </c>
      <c r="AG142" s="183">
        <v>-1813</v>
      </c>
      <c r="AH142" s="183">
        <v>13391</v>
      </c>
      <c r="AI142" s="183">
        <v>709</v>
      </c>
      <c r="AJ142" s="167"/>
      <c r="AK142" s="183">
        <v>27</v>
      </c>
      <c r="AL142" s="183">
        <v>-10</v>
      </c>
      <c r="AM142" s="180">
        <v>-2334</v>
      </c>
      <c r="AN142" s="139">
        <v>16301</v>
      </c>
      <c r="AO142" s="138">
        <v>12822</v>
      </c>
      <c r="AP142" s="184">
        <v>1513</v>
      </c>
      <c r="AQ142" s="138">
        <v>1966</v>
      </c>
      <c r="AR142" s="109">
        <v>20.5</v>
      </c>
      <c r="AS142" s="144"/>
      <c r="AT142" s="139">
        <v>283</v>
      </c>
      <c r="AU142" s="228">
        <v>4636</v>
      </c>
      <c r="AV142" s="138"/>
      <c r="AW142" s="224">
        <v>1.4424507658643326</v>
      </c>
      <c r="AX142" s="225">
        <v>20.390210185679727</v>
      </c>
      <c r="AY142" s="139">
        <v>1138.6971527178603</v>
      </c>
      <c r="AZ142" s="144"/>
      <c r="BA142"/>
      <c r="BC142" s="189">
        <v>84.265465333479838</v>
      </c>
      <c r="BD142" s="183">
        <v>2111.9499568593615</v>
      </c>
      <c r="BE142" s="140">
        <v>98.860687709203575</v>
      </c>
      <c r="BF142" s="139">
        <v>7797.4547023295945</v>
      </c>
      <c r="BG142" s="184">
        <v>7554</v>
      </c>
      <c r="BH142" s="216">
        <v>3010</v>
      </c>
      <c r="BI142" s="216">
        <v>32439</v>
      </c>
      <c r="BJ142" s="216">
        <v>-29429</v>
      </c>
      <c r="BK142" s="216">
        <v>16787</v>
      </c>
      <c r="BL142" s="216">
        <v>12032</v>
      </c>
      <c r="BM142" s="151"/>
      <c r="BO142" s="216">
        <v>75</v>
      </c>
      <c r="BP142" s="216">
        <v>1333</v>
      </c>
      <c r="BQ142" s="216">
        <v>798</v>
      </c>
      <c r="BR142" s="216">
        <v>2201</v>
      </c>
      <c r="BS142" s="216">
        <v>0</v>
      </c>
      <c r="BT142" s="216">
        <v>0</v>
      </c>
      <c r="BU142" s="216">
        <v>-1403</v>
      </c>
      <c r="BV142" s="183">
        <v>128</v>
      </c>
      <c r="BW142" s="183">
        <v>600</v>
      </c>
      <c r="BX142" s="183">
        <v>0</v>
      </c>
      <c r="BY142" s="183">
        <v>-675</v>
      </c>
      <c r="BZ142" s="183">
        <v>12716</v>
      </c>
      <c r="CA142" s="183">
        <v>-141</v>
      </c>
      <c r="CB142" s="167"/>
      <c r="CC142" s="183">
        <v>3</v>
      </c>
      <c r="CD142" s="183">
        <v>-10</v>
      </c>
      <c r="CE142" s="180">
        <v>-3488</v>
      </c>
      <c r="CF142" s="139">
        <v>16787</v>
      </c>
      <c r="CG142" s="216">
        <v>13096</v>
      </c>
      <c r="CH142" s="216">
        <v>2171</v>
      </c>
      <c r="CI142" s="216">
        <v>1520</v>
      </c>
      <c r="CJ142" s="212">
        <v>20.5</v>
      </c>
      <c r="CK142" s="144"/>
      <c r="CL142" s="130">
        <v>138</v>
      </c>
      <c r="CM142" s="228">
        <v>4543</v>
      </c>
      <c r="CN142" s="138"/>
      <c r="CO142" s="142">
        <v>9.9763313609467463</v>
      </c>
      <c r="CP142" s="142">
        <v>19.874027632648321</v>
      </c>
      <c r="CQ142" s="183">
        <v>1697.3365617433415</v>
      </c>
      <c r="CR142" s="144"/>
      <c r="CS142"/>
      <c r="CU142" s="232">
        <v>80.875793446560309</v>
      </c>
      <c r="CV142" s="143">
        <v>2775.6988773937928</v>
      </c>
      <c r="CW142" s="146">
        <v>132.2334587870256</v>
      </c>
      <c r="CX142" s="143">
        <v>7661.6773057451028</v>
      </c>
      <c r="CY142" s="131">
        <v>7132</v>
      </c>
      <c r="CZ142" s="229">
        <v>3089</v>
      </c>
      <c r="DA142" s="229">
        <v>33595</v>
      </c>
      <c r="DB142" s="216">
        <v>-30506</v>
      </c>
      <c r="DC142" s="229">
        <v>17465</v>
      </c>
      <c r="DD142" s="229">
        <v>13898</v>
      </c>
      <c r="DE142" s="151"/>
      <c r="DG142" s="229">
        <v>232</v>
      </c>
      <c r="DH142" s="229">
        <v>567</v>
      </c>
      <c r="DI142" s="229">
        <v>1656</v>
      </c>
      <c r="DJ142" s="229">
        <v>2287</v>
      </c>
      <c r="DK142" s="229">
        <v>0</v>
      </c>
      <c r="DL142" s="229">
        <v>0</v>
      </c>
      <c r="DM142" s="229">
        <v>-631</v>
      </c>
      <c r="DN142" s="130">
        <v>742</v>
      </c>
      <c r="DO142" s="130">
        <v>0</v>
      </c>
      <c r="DP142" s="130">
        <v>0</v>
      </c>
      <c r="DQ142" s="130">
        <v>111</v>
      </c>
      <c r="DR142" s="130">
        <v>12827</v>
      </c>
      <c r="DS142" s="130">
        <v>2601</v>
      </c>
      <c r="DT142" s="167"/>
      <c r="DU142" s="183">
        <v>30</v>
      </c>
      <c r="DV142" s="183">
        <v>-139</v>
      </c>
      <c r="DW142" s="180">
        <v>2145</v>
      </c>
      <c r="DX142" s="130">
        <v>17465</v>
      </c>
      <c r="DY142" s="229">
        <v>13712</v>
      </c>
      <c r="DZ142" s="229">
        <v>2281</v>
      </c>
      <c r="EA142" s="229">
        <v>1472</v>
      </c>
      <c r="EB142" s="212">
        <v>20.5</v>
      </c>
      <c r="EC142" s="208"/>
      <c r="ED142" s="183">
        <v>265.566176470588</v>
      </c>
      <c r="EE142" s="3">
        <v>22438</v>
      </c>
      <c r="EF142" s="183">
        <v>22830</v>
      </c>
      <c r="EG142" s="130">
        <v>23447</v>
      </c>
      <c r="EH142" s="130"/>
      <c r="EI142" s="130"/>
      <c r="EJ142" s="130"/>
      <c r="EK142" s="183">
        <v>-3100</v>
      </c>
      <c r="EL142" s="183">
        <v>30</v>
      </c>
      <c r="EM142" s="183">
        <v>27</v>
      </c>
      <c r="EN142" s="226">
        <v>-3628</v>
      </c>
      <c r="EO142" s="226">
        <v>242</v>
      </c>
      <c r="EP142" s="226">
        <v>39</v>
      </c>
      <c r="EQ142" s="226">
        <v>-711</v>
      </c>
      <c r="ER142" s="230">
        <v>52</v>
      </c>
      <c r="ES142" s="230">
        <v>203</v>
      </c>
      <c r="ET142" s="3">
        <v>0</v>
      </c>
      <c r="EU142" s="211">
        <v>0</v>
      </c>
      <c r="EV142" s="183">
        <v>1000</v>
      </c>
      <c r="EW142" s="183">
        <v>0</v>
      </c>
      <c r="EX142" s="130">
        <v>500</v>
      </c>
      <c r="EY142" s="183">
        <v>0</v>
      </c>
      <c r="EZ142" s="3">
        <v>2790</v>
      </c>
      <c r="FA142" s="3">
        <v>2780</v>
      </c>
      <c r="FB142" s="3">
        <v>10</v>
      </c>
      <c r="FC142" s="3">
        <v>1199</v>
      </c>
      <c r="FD142" s="226">
        <v>3780</v>
      </c>
      <c r="FE142" s="183">
        <v>3666</v>
      </c>
      <c r="FF142" s="183">
        <v>114</v>
      </c>
      <c r="FG142" s="183">
        <v>1200</v>
      </c>
      <c r="FH142" s="230">
        <v>4141</v>
      </c>
      <c r="FI142" s="130">
        <v>3972</v>
      </c>
      <c r="FJ142" s="130">
        <v>169</v>
      </c>
      <c r="FK142" s="130">
        <v>1191</v>
      </c>
      <c r="FL142" s="29">
        <v>4225.0107250107258</v>
      </c>
      <c r="FM142" s="139">
        <v>4244.1760138050049</v>
      </c>
      <c r="FN142" s="139">
        <v>4351.7499449702846</v>
      </c>
      <c r="FO142" s="172">
        <f t="shared" si="6"/>
        <v>668.8780487804878</v>
      </c>
      <c r="FP142" s="170">
        <f t="shared" si="7"/>
        <v>147.23267637695088</v>
      </c>
      <c r="FR142" s="175"/>
      <c r="FS142" s="195"/>
      <c r="FV142" s="175">
        <v>0</v>
      </c>
      <c r="FW142" s="2">
        <f t="shared" si="8"/>
        <v>0</v>
      </c>
      <c r="FZ142" s="186"/>
      <c r="GA142" s="2"/>
      <c r="GB142" s="2"/>
    </row>
    <row r="143" spans="1:184" ht="13" x14ac:dyDescent="0.3">
      <c r="A143" s="77">
        <v>475</v>
      </c>
      <c r="B143" s="75" t="s">
        <v>140</v>
      </c>
      <c r="C143" s="179">
        <v>5477</v>
      </c>
      <c r="D143" s="138"/>
      <c r="E143" s="142">
        <v>0.92500000000000004</v>
      </c>
      <c r="F143" s="142">
        <v>71.659562952438947</v>
      </c>
      <c r="G143" s="183">
        <v>-5445.4993609640305</v>
      </c>
      <c r="H143" s="144"/>
      <c r="I143" s="186"/>
      <c r="K143" s="210">
        <v>37.074436845196367</v>
      </c>
      <c r="L143" s="143">
        <v>105.53222567098777</v>
      </c>
      <c r="M143" s="146">
        <v>4.1792789223454836</v>
      </c>
      <c r="N143" s="143">
        <v>9216.724484206683</v>
      </c>
      <c r="O143" s="138">
        <v>22998</v>
      </c>
      <c r="P143" s="143">
        <v>8833</v>
      </c>
      <c r="Q143" s="184">
        <v>42673</v>
      </c>
      <c r="R143" s="184">
        <v>-33840</v>
      </c>
      <c r="S143" s="139">
        <v>19093</v>
      </c>
      <c r="T143" s="138">
        <v>16447</v>
      </c>
      <c r="U143" s="151"/>
      <c r="W143" s="183">
        <v>-70</v>
      </c>
      <c r="X143" s="183">
        <v>25</v>
      </c>
      <c r="Y143" s="184">
        <v>1655</v>
      </c>
      <c r="Z143" s="130">
        <v>1875</v>
      </c>
      <c r="AA143" s="130">
        <v>0</v>
      </c>
      <c r="AB143" s="130">
        <v>0</v>
      </c>
      <c r="AC143" s="184">
        <v>-220</v>
      </c>
      <c r="AD143" s="184">
        <v>113</v>
      </c>
      <c r="AE143" s="184">
        <v>0</v>
      </c>
      <c r="AF143" s="183">
        <v>0</v>
      </c>
      <c r="AG143" s="183">
        <v>-107</v>
      </c>
      <c r="AH143" s="183">
        <v>3533</v>
      </c>
      <c r="AI143" s="183">
        <v>1462</v>
      </c>
      <c r="AJ143" s="167"/>
      <c r="AK143" s="183">
        <v>49</v>
      </c>
      <c r="AL143" s="183">
        <v>-1796</v>
      </c>
      <c r="AM143" s="180">
        <v>-3336</v>
      </c>
      <c r="AN143" s="139">
        <v>19093</v>
      </c>
      <c r="AO143" s="138">
        <v>16592</v>
      </c>
      <c r="AP143" s="184">
        <v>1085</v>
      </c>
      <c r="AQ143" s="138">
        <v>1416</v>
      </c>
      <c r="AR143" s="109">
        <v>21.5</v>
      </c>
      <c r="AS143" s="144"/>
      <c r="AT143" s="139">
        <v>110</v>
      </c>
      <c r="AU143" s="228">
        <v>5475</v>
      </c>
      <c r="AV143" s="138"/>
      <c r="AW143" s="224">
        <v>0.21088650909321335</v>
      </c>
      <c r="AX143" s="225">
        <v>82.92011019283747</v>
      </c>
      <c r="AY143" s="139">
        <v>-6401.4611872146115</v>
      </c>
      <c r="AZ143" s="144"/>
      <c r="BA143"/>
      <c r="BC143" s="189">
        <v>31.971577716091414</v>
      </c>
      <c r="BD143" s="183">
        <v>124.93150684931507</v>
      </c>
      <c r="BE143" s="140">
        <v>4.770694794771841</v>
      </c>
      <c r="BF143" s="139">
        <v>9558.3561643835619</v>
      </c>
      <c r="BG143" s="184">
        <v>23731</v>
      </c>
      <c r="BH143" s="216">
        <v>8750</v>
      </c>
      <c r="BI143" s="216">
        <v>44277</v>
      </c>
      <c r="BJ143" s="216">
        <v>-35506</v>
      </c>
      <c r="BK143" s="216">
        <v>20146</v>
      </c>
      <c r="BL143" s="216">
        <v>16116</v>
      </c>
      <c r="BM143" s="151"/>
      <c r="BO143" s="216">
        <v>-83</v>
      </c>
      <c r="BP143" s="216">
        <v>61</v>
      </c>
      <c r="BQ143" s="216">
        <v>734</v>
      </c>
      <c r="BR143" s="216">
        <v>1989</v>
      </c>
      <c r="BS143" s="216">
        <v>0</v>
      </c>
      <c r="BT143" s="216">
        <v>0</v>
      </c>
      <c r="BU143" s="216">
        <v>-1255</v>
      </c>
      <c r="BV143" s="184">
        <v>113</v>
      </c>
      <c r="BW143" s="184">
        <v>0</v>
      </c>
      <c r="BX143" s="183">
        <v>0</v>
      </c>
      <c r="BY143" s="183">
        <v>-1142</v>
      </c>
      <c r="BZ143" s="183">
        <v>2390</v>
      </c>
      <c r="CA143" s="183">
        <v>673</v>
      </c>
      <c r="CB143" s="167"/>
      <c r="CC143" s="183">
        <v>-219</v>
      </c>
      <c r="CD143" s="183">
        <v>-1822</v>
      </c>
      <c r="CE143" s="180">
        <v>-5037</v>
      </c>
      <c r="CF143" s="139">
        <v>20146</v>
      </c>
      <c r="CG143" s="216">
        <v>17612</v>
      </c>
      <c r="CH143" s="216">
        <v>1093</v>
      </c>
      <c r="CI143" s="216">
        <v>1441</v>
      </c>
      <c r="CJ143" s="212">
        <v>21.5</v>
      </c>
      <c r="CK143" s="144"/>
      <c r="CL143" s="130">
        <v>163</v>
      </c>
      <c r="CM143" s="228">
        <v>5451</v>
      </c>
      <c r="CN143" s="138"/>
      <c r="CO143" s="142">
        <v>2.0443101711983886</v>
      </c>
      <c r="CP143" s="142">
        <v>80.106871860639089</v>
      </c>
      <c r="CQ143" s="183">
        <v>-5904.2377545404515</v>
      </c>
      <c r="CR143" s="144"/>
      <c r="CS143"/>
      <c r="CU143" s="232">
        <v>35.380218400489007</v>
      </c>
      <c r="CV143" s="143">
        <v>738.2131718950651</v>
      </c>
      <c r="CW143" s="146">
        <v>29.254088075367978</v>
      </c>
      <c r="CX143" s="143">
        <v>9210.6035589800031</v>
      </c>
      <c r="CY143" s="131">
        <v>23803</v>
      </c>
      <c r="CZ143" s="229">
        <v>8637</v>
      </c>
      <c r="DA143" s="229">
        <v>42834</v>
      </c>
      <c r="DB143" s="216">
        <v>-34197</v>
      </c>
      <c r="DC143" s="229">
        <v>20160</v>
      </c>
      <c r="DD143" s="229">
        <v>18013</v>
      </c>
      <c r="DE143" s="151"/>
      <c r="DG143" s="229">
        <v>-88</v>
      </c>
      <c r="DH143" s="229">
        <v>73</v>
      </c>
      <c r="DI143" s="229">
        <v>3961</v>
      </c>
      <c r="DJ143" s="229">
        <v>2277</v>
      </c>
      <c r="DK143" s="229">
        <v>1686</v>
      </c>
      <c r="DL143" s="229">
        <v>0</v>
      </c>
      <c r="DM143" s="229">
        <v>3370</v>
      </c>
      <c r="DN143" s="131">
        <v>103</v>
      </c>
      <c r="DO143" s="131">
        <v>0</v>
      </c>
      <c r="DP143" s="130">
        <v>0</v>
      </c>
      <c r="DQ143" s="130">
        <v>3473</v>
      </c>
      <c r="DR143" s="130">
        <v>5596</v>
      </c>
      <c r="DS143" s="130">
        <v>3933</v>
      </c>
      <c r="DT143" s="167"/>
      <c r="DU143" s="183">
        <v>322</v>
      </c>
      <c r="DV143" s="183">
        <v>-1887</v>
      </c>
      <c r="DW143" s="180">
        <v>2155</v>
      </c>
      <c r="DX143" s="130">
        <v>20160</v>
      </c>
      <c r="DY143" s="229">
        <v>17682</v>
      </c>
      <c r="DZ143" s="229">
        <v>1147</v>
      </c>
      <c r="EA143" s="229">
        <v>1331</v>
      </c>
      <c r="EB143" s="212">
        <v>21.5</v>
      </c>
      <c r="EC143" s="208"/>
      <c r="ED143" s="183">
        <v>117.485294117647</v>
      </c>
      <c r="EE143" s="3">
        <v>14702</v>
      </c>
      <c r="EF143" s="183">
        <v>15572</v>
      </c>
      <c r="EG143" s="130">
        <v>14054</v>
      </c>
      <c r="EH143" s="130"/>
      <c r="EI143" s="130"/>
      <c r="EJ143" s="130"/>
      <c r="EK143" s="183">
        <v>-5565</v>
      </c>
      <c r="EL143" s="183">
        <v>560</v>
      </c>
      <c r="EM143" s="183">
        <v>207</v>
      </c>
      <c r="EN143" s="226">
        <v>-5835</v>
      </c>
      <c r="EO143" s="226">
        <v>54</v>
      </c>
      <c r="EP143" s="226">
        <v>71</v>
      </c>
      <c r="EQ143" s="226">
        <v>-5409</v>
      </c>
      <c r="ER143" s="230">
        <v>1800</v>
      </c>
      <c r="ES143" s="230">
        <v>1831</v>
      </c>
      <c r="ET143" s="3">
        <v>9583</v>
      </c>
      <c r="EU143" s="211">
        <v>-4870</v>
      </c>
      <c r="EV143" s="183">
        <v>0</v>
      </c>
      <c r="EW143" s="183">
        <v>6673</v>
      </c>
      <c r="EX143" s="130">
        <v>2564</v>
      </c>
      <c r="EY143" s="183">
        <v>-680</v>
      </c>
      <c r="EZ143" s="3">
        <v>23335</v>
      </c>
      <c r="FA143" s="3">
        <v>19507</v>
      </c>
      <c r="FB143" s="3">
        <v>3828</v>
      </c>
      <c r="FC143" s="3">
        <v>1863</v>
      </c>
      <c r="FD143" s="226">
        <v>28188</v>
      </c>
      <c r="FE143" s="183">
        <v>17686</v>
      </c>
      <c r="FF143" s="183">
        <v>10502</v>
      </c>
      <c r="FG143" s="183">
        <v>2047</v>
      </c>
      <c r="FH143" s="230">
        <v>28185</v>
      </c>
      <c r="FI143" s="130">
        <v>18338</v>
      </c>
      <c r="FJ143" s="130">
        <v>9847</v>
      </c>
      <c r="FK143" s="130">
        <v>1390</v>
      </c>
      <c r="FL143" s="29">
        <v>5402.5926602154459</v>
      </c>
      <c r="FM143" s="139">
        <v>6549.4063926940644</v>
      </c>
      <c r="FN143" s="139">
        <v>6773.6195193542471</v>
      </c>
      <c r="FO143" s="172">
        <f t="shared" si="6"/>
        <v>822.41860465116281</v>
      </c>
      <c r="FP143" s="170">
        <f t="shared" si="7"/>
        <v>150.87481281437587</v>
      </c>
      <c r="FR143" s="175"/>
      <c r="FS143" s="195"/>
      <c r="FV143" s="175">
        <v>597</v>
      </c>
      <c r="FW143" s="2">
        <f t="shared" si="8"/>
        <v>-597</v>
      </c>
      <c r="FZ143" s="186"/>
      <c r="GA143" s="2"/>
      <c r="GB143" s="2"/>
    </row>
    <row r="144" spans="1:184" ht="13" x14ac:dyDescent="0.3">
      <c r="A144" s="77">
        <v>480</v>
      </c>
      <c r="B144" s="75" t="s">
        <v>141</v>
      </c>
      <c r="C144" s="179">
        <v>2018</v>
      </c>
      <c r="D144" s="138"/>
      <c r="E144" s="142">
        <v>1.1954674220963173</v>
      </c>
      <c r="F144" s="142">
        <v>25.939050318922749</v>
      </c>
      <c r="G144" s="183">
        <v>-1140.733399405352</v>
      </c>
      <c r="H144" s="144"/>
      <c r="I144" s="186"/>
      <c r="K144" s="210">
        <v>70.722115304158649</v>
      </c>
      <c r="L144" s="143">
        <v>261.64519326065408</v>
      </c>
      <c r="M144" s="146">
        <v>14.805254666973958</v>
      </c>
      <c r="N144" s="143">
        <v>6450.4459861248761</v>
      </c>
      <c r="O144" s="138">
        <v>4156</v>
      </c>
      <c r="P144" s="143">
        <v>1951</v>
      </c>
      <c r="Q144" s="184">
        <v>12283</v>
      </c>
      <c r="R144" s="184">
        <v>-10332</v>
      </c>
      <c r="S144" s="139">
        <v>6243</v>
      </c>
      <c r="T144" s="138">
        <v>4505</v>
      </c>
      <c r="U144" s="151"/>
      <c r="W144" s="183">
        <v>-11</v>
      </c>
      <c r="X144" s="183">
        <v>3</v>
      </c>
      <c r="Y144" s="184">
        <v>408</v>
      </c>
      <c r="Z144" s="130">
        <v>432</v>
      </c>
      <c r="AA144" s="130">
        <v>0</v>
      </c>
      <c r="AB144" s="130">
        <v>0</v>
      </c>
      <c r="AC144" s="184">
        <v>-24</v>
      </c>
      <c r="AD144" s="184">
        <v>13</v>
      </c>
      <c r="AE144" s="183">
        <v>0</v>
      </c>
      <c r="AF144" s="183">
        <v>0</v>
      </c>
      <c r="AG144" s="183">
        <v>-11</v>
      </c>
      <c r="AH144" s="183">
        <v>2914</v>
      </c>
      <c r="AI144" s="183">
        <v>377</v>
      </c>
      <c r="AJ144" s="167"/>
      <c r="AK144" s="183">
        <v>99</v>
      </c>
      <c r="AL144" s="183">
        <v>-339</v>
      </c>
      <c r="AM144" s="180">
        <v>307</v>
      </c>
      <c r="AN144" s="139">
        <v>6243</v>
      </c>
      <c r="AO144" s="138">
        <v>5592</v>
      </c>
      <c r="AP144" s="184">
        <v>309</v>
      </c>
      <c r="AQ144" s="138">
        <v>342</v>
      </c>
      <c r="AR144" s="109">
        <v>20.75</v>
      </c>
      <c r="AS144" s="144"/>
      <c r="AT144" s="139">
        <v>168</v>
      </c>
      <c r="AU144" s="228">
        <v>2013</v>
      </c>
      <c r="AV144" s="138"/>
      <c r="AW144" s="224">
        <v>0.93088363954505682</v>
      </c>
      <c r="AX144" s="225">
        <v>36.222933821286979</v>
      </c>
      <c r="AY144" s="139">
        <v>-1134.1281669150521</v>
      </c>
      <c r="AZ144" s="144"/>
      <c r="BA144"/>
      <c r="BC144" s="189">
        <v>62.633345766505037</v>
      </c>
      <c r="BD144" s="183">
        <v>938.89716840536505</v>
      </c>
      <c r="BE144" s="140">
        <v>49.543952887101405</v>
      </c>
      <c r="BF144" s="139">
        <v>6917.0392449080973</v>
      </c>
      <c r="BG144" s="184">
        <v>4344</v>
      </c>
      <c r="BH144" s="216">
        <v>1910</v>
      </c>
      <c r="BI144" s="216">
        <v>12724</v>
      </c>
      <c r="BJ144" s="216">
        <v>-10814</v>
      </c>
      <c r="BK144" s="216">
        <v>6672</v>
      </c>
      <c r="BL144" s="216">
        <v>4534</v>
      </c>
      <c r="BM144" s="151"/>
      <c r="BO144" s="216">
        <v>-10</v>
      </c>
      <c r="BP144" s="216">
        <v>4</v>
      </c>
      <c r="BQ144" s="216">
        <v>386</v>
      </c>
      <c r="BR144" s="216">
        <v>442</v>
      </c>
      <c r="BS144" s="216">
        <v>0</v>
      </c>
      <c r="BT144" s="216">
        <v>0</v>
      </c>
      <c r="BU144" s="216">
        <v>-56</v>
      </c>
      <c r="BV144" s="184">
        <v>13</v>
      </c>
      <c r="BW144" s="183">
        <v>0</v>
      </c>
      <c r="BX144" s="183">
        <v>0</v>
      </c>
      <c r="BY144" s="183">
        <v>-43</v>
      </c>
      <c r="BZ144" s="183">
        <v>2871</v>
      </c>
      <c r="CA144" s="183">
        <v>381</v>
      </c>
      <c r="CB144" s="167"/>
      <c r="CC144" s="183">
        <v>-112</v>
      </c>
      <c r="CD144" s="183">
        <v>-679</v>
      </c>
      <c r="CE144" s="180">
        <v>-83</v>
      </c>
      <c r="CF144" s="139">
        <v>6672</v>
      </c>
      <c r="CG144" s="216">
        <v>6005</v>
      </c>
      <c r="CH144" s="216">
        <v>292</v>
      </c>
      <c r="CI144" s="216">
        <v>375</v>
      </c>
      <c r="CJ144" s="212">
        <v>20.75</v>
      </c>
      <c r="CK144" s="144"/>
      <c r="CL144" s="130">
        <v>132</v>
      </c>
      <c r="CM144" s="228">
        <v>1999</v>
      </c>
      <c r="CN144" s="138"/>
      <c r="CO144" s="142">
        <v>2.9081885856079404</v>
      </c>
      <c r="CP144" s="142">
        <v>34.067537014076287</v>
      </c>
      <c r="CQ144" s="183">
        <v>-942.97148574287144</v>
      </c>
      <c r="CR144" s="144"/>
      <c r="CS144"/>
      <c r="CU144" s="232">
        <v>64.774193548387103</v>
      </c>
      <c r="CV144" s="143">
        <v>1098.0490245122562</v>
      </c>
      <c r="CW144" s="146">
        <v>58.497006425233643</v>
      </c>
      <c r="CX144" s="143">
        <v>6851.4257128564286</v>
      </c>
      <c r="CY144" s="131">
        <v>4379</v>
      </c>
      <c r="CZ144" s="229">
        <v>1922</v>
      </c>
      <c r="DA144" s="229">
        <v>12547</v>
      </c>
      <c r="DB144" s="216">
        <v>-10625</v>
      </c>
      <c r="DC144" s="229">
        <v>6754</v>
      </c>
      <c r="DD144" s="229">
        <v>5035</v>
      </c>
      <c r="DE144" s="151"/>
      <c r="DG144" s="229">
        <v>-10</v>
      </c>
      <c r="DH144" s="229">
        <v>5</v>
      </c>
      <c r="DI144" s="229">
        <v>1159</v>
      </c>
      <c r="DJ144" s="229">
        <v>464</v>
      </c>
      <c r="DK144" s="229">
        <v>0</v>
      </c>
      <c r="DL144" s="229">
        <v>56</v>
      </c>
      <c r="DM144" s="229">
        <v>639</v>
      </c>
      <c r="DN144" s="131">
        <v>13</v>
      </c>
      <c r="DO144" s="130">
        <v>-250</v>
      </c>
      <c r="DP144" s="130">
        <v>0</v>
      </c>
      <c r="DQ144" s="130">
        <v>402</v>
      </c>
      <c r="DR144" s="130">
        <v>3274</v>
      </c>
      <c r="DS144" s="130">
        <v>1103</v>
      </c>
      <c r="DT144" s="167"/>
      <c r="DU144" s="183">
        <v>-14</v>
      </c>
      <c r="DV144" s="183">
        <v>-390</v>
      </c>
      <c r="DW144" s="180">
        <v>413</v>
      </c>
      <c r="DX144" s="130">
        <v>6754</v>
      </c>
      <c r="DY144" s="229">
        <v>6091</v>
      </c>
      <c r="DZ144" s="229">
        <v>316</v>
      </c>
      <c r="EA144" s="229">
        <v>347</v>
      </c>
      <c r="EB144" s="212">
        <v>20.75</v>
      </c>
      <c r="EC144" s="208"/>
      <c r="ED144" s="183">
        <v>193.03676470588201</v>
      </c>
      <c r="EE144" s="3">
        <v>6515</v>
      </c>
      <c r="EF144" s="183">
        <v>6715</v>
      </c>
      <c r="EG144" s="130">
        <v>6554</v>
      </c>
      <c r="EH144" s="130"/>
      <c r="EI144" s="130"/>
      <c r="EJ144" s="130"/>
      <c r="EK144" s="183">
        <v>-381</v>
      </c>
      <c r="EL144" s="183">
        <v>271</v>
      </c>
      <c r="EM144" s="183">
        <v>40</v>
      </c>
      <c r="EN144" s="226">
        <v>-508</v>
      </c>
      <c r="EO144" s="226">
        <v>38</v>
      </c>
      <c r="EP144" s="226">
        <v>6</v>
      </c>
      <c r="EQ144" s="226">
        <v>-746</v>
      </c>
      <c r="ER144" s="230">
        <v>0</v>
      </c>
      <c r="ES144" s="230">
        <v>56</v>
      </c>
      <c r="ET144" s="3">
        <v>0</v>
      </c>
      <c r="EU144" s="211">
        <v>0</v>
      </c>
      <c r="EV144" s="183">
        <v>1800</v>
      </c>
      <c r="EW144" s="183">
        <v>0</v>
      </c>
      <c r="EX144" s="130">
        <v>0</v>
      </c>
      <c r="EY144" s="183">
        <v>0</v>
      </c>
      <c r="EZ144" s="3">
        <v>1758</v>
      </c>
      <c r="FA144" s="3">
        <v>1503</v>
      </c>
      <c r="FB144" s="3">
        <v>255</v>
      </c>
      <c r="FC144" s="3">
        <v>104</v>
      </c>
      <c r="FD144" s="226">
        <v>2879</v>
      </c>
      <c r="FE144" s="183">
        <v>2489</v>
      </c>
      <c r="FF144" s="183">
        <v>390</v>
      </c>
      <c r="FG144" s="183">
        <v>104</v>
      </c>
      <c r="FH144" s="230">
        <v>2489</v>
      </c>
      <c r="FI144" s="130">
        <v>2099</v>
      </c>
      <c r="FJ144" s="130">
        <v>390</v>
      </c>
      <c r="FK144" s="130">
        <v>104</v>
      </c>
      <c r="FL144" s="29">
        <v>1535.1833498513379</v>
      </c>
      <c r="FM144" s="139">
        <v>2028.8127173373075</v>
      </c>
      <c r="FN144" s="139">
        <v>1754.8774387193598</v>
      </c>
      <c r="FO144" s="172">
        <f t="shared" si="6"/>
        <v>293.54216867469881</v>
      </c>
      <c r="FP144" s="170">
        <f t="shared" si="7"/>
        <v>146.84450659064476</v>
      </c>
      <c r="FR144" s="175"/>
      <c r="FS144" s="195"/>
      <c r="FV144" s="175">
        <v>251</v>
      </c>
      <c r="FW144" s="2">
        <f t="shared" si="8"/>
        <v>-251</v>
      </c>
      <c r="FZ144" s="186"/>
      <c r="GA144" s="2"/>
      <c r="GB144" s="2"/>
    </row>
    <row r="145" spans="1:184" ht="13" x14ac:dyDescent="0.3">
      <c r="A145" s="77">
        <v>481</v>
      </c>
      <c r="B145" s="75" t="s">
        <v>142</v>
      </c>
      <c r="C145" s="179">
        <v>9554</v>
      </c>
      <c r="D145" s="138"/>
      <c r="E145" s="142">
        <v>0.54575282537367842</v>
      </c>
      <c r="F145" s="142">
        <v>91.115118155072608</v>
      </c>
      <c r="G145" s="183">
        <v>-4786.6862047310024</v>
      </c>
      <c r="H145" s="144"/>
      <c r="I145" s="186"/>
      <c r="K145" s="210">
        <v>33.625867959880964</v>
      </c>
      <c r="L145" s="143">
        <v>104.77287000209336</v>
      </c>
      <c r="M145" s="146">
        <v>5.6493335807279585</v>
      </c>
      <c r="N145" s="143">
        <v>6769.311283232154</v>
      </c>
      <c r="O145" s="138">
        <v>15451</v>
      </c>
      <c r="P145" s="143">
        <v>4590</v>
      </c>
      <c r="Q145" s="184">
        <v>51334</v>
      </c>
      <c r="R145" s="184">
        <v>-46744</v>
      </c>
      <c r="S145" s="139">
        <v>40329</v>
      </c>
      <c r="T145" s="138">
        <v>7766</v>
      </c>
      <c r="U145" s="151"/>
      <c r="W145" s="183">
        <v>-11</v>
      </c>
      <c r="X145" s="183">
        <v>51</v>
      </c>
      <c r="Y145" s="184">
        <v>1391</v>
      </c>
      <c r="Z145" s="130">
        <v>2202</v>
      </c>
      <c r="AA145" s="130">
        <v>0</v>
      </c>
      <c r="AB145" s="130">
        <v>0</v>
      </c>
      <c r="AC145" s="184">
        <v>-811</v>
      </c>
      <c r="AD145" s="183">
        <v>86</v>
      </c>
      <c r="AE145" s="183">
        <v>0</v>
      </c>
      <c r="AF145" s="183">
        <v>0</v>
      </c>
      <c r="AG145" s="183">
        <v>-725</v>
      </c>
      <c r="AH145" s="183">
        <v>2271</v>
      </c>
      <c r="AI145" s="183">
        <v>1108</v>
      </c>
      <c r="AJ145" s="167"/>
      <c r="AK145" s="183">
        <v>71</v>
      </c>
      <c r="AL145" s="183">
        <v>-2637</v>
      </c>
      <c r="AM145" s="180">
        <v>-9026</v>
      </c>
      <c r="AN145" s="139">
        <v>40329</v>
      </c>
      <c r="AO145" s="138">
        <v>36887</v>
      </c>
      <c r="AP145" s="184">
        <v>1554</v>
      </c>
      <c r="AQ145" s="138">
        <v>1888</v>
      </c>
      <c r="AR145" s="109">
        <v>20.75</v>
      </c>
      <c r="AS145" s="144"/>
      <c r="AT145" s="139">
        <v>200</v>
      </c>
      <c r="AU145" s="228">
        <v>9534</v>
      </c>
      <c r="AV145" s="138"/>
      <c r="AW145" s="224">
        <v>0.14022712844748536</v>
      </c>
      <c r="AX145" s="225">
        <v>109.72749354789737</v>
      </c>
      <c r="AY145" s="139">
        <v>-5716.2785819173487</v>
      </c>
      <c r="AZ145" s="144"/>
      <c r="BA145"/>
      <c r="BC145" s="189">
        <v>28.286882108148824</v>
      </c>
      <c r="BD145" s="183">
        <v>231.9068596601636</v>
      </c>
      <c r="BE145" s="140">
        <v>12.383418496524421</v>
      </c>
      <c r="BF145" s="139">
        <v>6835.4310887350539</v>
      </c>
      <c r="BG145" s="184">
        <v>15840</v>
      </c>
      <c r="BH145" s="216">
        <v>4902</v>
      </c>
      <c r="BI145" s="216">
        <v>51881</v>
      </c>
      <c r="BJ145" s="216">
        <v>-46979</v>
      </c>
      <c r="BK145" s="216">
        <v>40315</v>
      </c>
      <c r="BL145" s="216">
        <v>7479</v>
      </c>
      <c r="BM145" s="151"/>
      <c r="BO145" s="216">
        <v>-57</v>
      </c>
      <c r="BP145" s="216">
        <v>83</v>
      </c>
      <c r="BQ145" s="216">
        <v>841</v>
      </c>
      <c r="BR145" s="216">
        <v>2341</v>
      </c>
      <c r="BS145" s="216">
        <v>0</v>
      </c>
      <c r="BT145" s="216">
        <v>0</v>
      </c>
      <c r="BU145" s="216">
        <v>-1500</v>
      </c>
      <c r="BV145" s="183">
        <v>86</v>
      </c>
      <c r="BW145" s="183">
        <v>0</v>
      </c>
      <c r="BX145" s="183">
        <v>0</v>
      </c>
      <c r="BY145" s="183">
        <v>-1414</v>
      </c>
      <c r="BZ145" s="183">
        <v>857</v>
      </c>
      <c r="CA145" s="183">
        <v>162</v>
      </c>
      <c r="CB145" s="167"/>
      <c r="CC145" s="183">
        <v>159</v>
      </c>
      <c r="CD145" s="183">
        <v>-2931</v>
      </c>
      <c r="CE145" s="180">
        <v>-8862</v>
      </c>
      <c r="CF145" s="139">
        <v>40315</v>
      </c>
      <c r="CG145" s="216">
        <v>36704</v>
      </c>
      <c r="CH145" s="216">
        <v>1631</v>
      </c>
      <c r="CI145" s="216">
        <v>1980</v>
      </c>
      <c r="CJ145" s="212">
        <v>20.75</v>
      </c>
      <c r="CK145" s="144"/>
      <c r="CL145" s="130">
        <v>188</v>
      </c>
      <c r="CM145" s="228">
        <v>9543</v>
      </c>
      <c r="CN145" s="138"/>
      <c r="CO145" s="142">
        <v>1.8362262038073909</v>
      </c>
      <c r="CP145" s="142">
        <v>91.370601540842529</v>
      </c>
      <c r="CQ145" s="183">
        <v>-5120.4023891857905</v>
      </c>
      <c r="CR145" s="144"/>
      <c r="CS145"/>
      <c r="CU145" s="232">
        <v>32.655375680761708</v>
      </c>
      <c r="CV145" s="143">
        <v>399.24552027664254</v>
      </c>
      <c r="CW145" s="146">
        <v>23.925984550006021</v>
      </c>
      <c r="CX145" s="143">
        <v>6090.6423556533582</v>
      </c>
      <c r="CY145" s="131">
        <v>15964</v>
      </c>
      <c r="CZ145" s="229">
        <v>3859</v>
      </c>
      <c r="DA145" s="229">
        <v>52423</v>
      </c>
      <c r="DB145" s="216">
        <v>-48564</v>
      </c>
      <c r="DC145" s="229">
        <v>43241</v>
      </c>
      <c r="DD145" s="229">
        <v>11699</v>
      </c>
      <c r="DE145" s="151"/>
      <c r="DG145" s="229">
        <v>-64</v>
      </c>
      <c r="DH145" s="229">
        <v>95</v>
      </c>
      <c r="DI145" s="229">
        <v>6407</v>
      </c>
      <c r="DJ145" s="229">
        <v>3212</v>
      </c>
      <c r="DK145" s="229">
        <v>100</v>
      </c>
      <c r="DL145" s="229">
        <v>0</v>
      </c>
      <c r="DM145" s="229">
        <v>3295</v>
      </c>
      <c r="DN145" s="130">
        <v>86</v>
      </c>
      <c r="DO145" s="130">
        <v>0</v>
      </c>
      <c r="DP145" s="130">
        <v>0</v>
      </c>
      <c r="DQ145" s="130">
        <v>3381</v>
      </c>
      <c r="DR145" s="130">
        <v>4238</v>
      </c>
      <c r="DS145" s="130">
        <v>5906</v>
      </c>
      <c r="DT145" s="167"/>
      <c r="DU145" s="183">
        <v>61</v>
      </c>
      <c r="DV145" s="183">
        <v>-3420</v>
      </c>
      <c r="DW145" s="180">
        <v>4837</v>
      </c>
      <c r="DX145" s="130">
        <v>43241</v>
      </c>
      <c r="DY145" s="229">
        <v>39634</v>
      </c>
      <c r="DZ145" s="229">
        <v>1815</v>
      </c>
      <c r="EA145" s="229">
        <v>1792</v>
      </c>
      <c r="EB145" s="212">
        <v>20.75</v>
      </c>
      <c r="EC145" s="208"/>
      <c r="ED145" s="183">
        <v>148.713235294117</v>
      </c>
      <c r="EE145" s="3">
        <v>30542</v>
      </c>
      <c r="EF145" s="183">
        <v>30644</v>
      </c>
      <c r="EG145" s="130">
        <v>31156</v>
      </c>
      <c r="EH145" s="130"/>
      <c r="EI145" s="130"/>
      <c r="EJ145" s="130"/>
      <c r="EK145" s="183">
        <v>-10580</v>
      </c>
      <c r="EL145" s="183">
        <v>30</v>
      </c>
      <c r="EM145" s="183">
        <v>416</v>
      </c>
      <c r="EN145" s="226">
        <v>-10203</v>
      </c>
      <c r="EO145" s="226">
        <v>5</v>
      </c>
      <c r="EP145" s="226">
        <v>1174</v>
      </c>
      <c r="EQ145" s="226">
        <v>-2124</v>
      </c>
      <c r="ER145" s="230">
        <v>220</v>
      </c>
      <c r="ES145" s="230">
        <v>835</v>
      </c>
      <c r="ET145" s="3">
        <v>8000</v>
      </c>
      <c r="EU145" s="211">
        <v>2000</v>
      </c>
      <c r="EV145" s="183">
        <v>8000</v>
      </c>
      <c r="EW145" s="183">
        <v>5000</v>
      </c>
      <c r="EX145" s="130">
        <v>2000</v>
      </c>
      <c r="EY145" s="183">
        <v>-3000</v>
      </c>
      <c r="EZ145" s="3">
        <v>42505</v>
      </c>
      <c r="FA145" s="3">
        <v>16824</v>
      </c>
      <c r="FB145" s="3">
        <v>25681</v>
      </c>
      <c r="FC145" s="3">
        <v>4590</v>
      </c>
      <c r="FD145" s="226">
        <v>52574</v>
      </c>
      <c r="FE145" s="183">
        <v>21254</v>
      </c>
      <c r="FF145" s="183">
        <v>31320</v>
      </c>
      <c r="FG145" s="183">
        <v>4590</v>
      </c>
      <c r="FH145" s="230">
        <v>48154</v>
      </c>
      <c r="FI145" s="130">
        <v>19774</v>
      </c>
      <c r="FJ145" s="130">
        <v>28380</v>
      </c>
      <c r="FK145" s="130">
        <v>3850</v>
      </c>
      <c r="FL145" s="29">
        <v>4963.0521247644965</v>
      </c>
      <c r="FM145" s="139">
        <v>5906.0205580029369</v>
      </c>
      <c r="FN145" s="139">
        <v>5312.8995074924023</v>
      </c>
      <c r="FO145" s="172">
        <f t="shared" si="6"/>
        <v>1910.0722891566265</v>
      </c>
      <c r="FP145" s="170">
        <f t="shared" si="7"/>
        <v>200.1542794882769</v>
      </c>
      <c r="FR145" s="175"/>
      <c r="FS145" s="195"/>
      <c r="FV145" s="175">
        <v>1909</v>
      </c>
      <c r="FW145" s="2">
        <f t="shared" si="8"/>
        <v>-1909</v>
      </c>
      <c r="FZ145" s="186"/>
      <c r="GA145" s="2"/>
      <c r="GB145" s="2"/>
    </row>
    <row r="146" spans="1:184" ht="13" x14ac:dyDescent="0.3">
      <c r="A146" s="77">
        <v>483</v>
      </c>
      <c r="B146" s="75" t="s">
        <v>143</v>
      </c>
      <c r="C146" s="179">
        <v>1104</v>
      </c>
      <c r="D146" s="138"/>
      <c r="E146" s="142">
        <v>0.23723723723723725</v>
      </c>
      <c r="F146" s="142">
        <v>57.166826462128476</v>
      </c>
      <c r="G146" s="183">
        <v>-1780.7971014492755</v>
      </c>
      <c r="H146" s="144"/>
      <c r="I146" s="186"/>
      <c r="K146" s="210">
        <v>58.658346333853352</v>
      </c>
      <c r="L146" s="143">
        <v>2354.1666666666665</v>
      </c>
      <c r="M146" s="146">
        <v>95.082189034779987</v>
      </c>
      <c r="N146" s="143">
        <v>9037.13768115942</v>
      </c>
      <c r="O146" s="138">
        <v>2107</v>
      </c>
      <c r="P146" s="143">
        <v>1568</v>
      </c>
      <c r="Q146" s="184">
        <v>8317</v>
      </c>
      <c r="R146" s="184">
        <v>-6749</v>
      </c>
      <c r="S146" s="139">
        <v>2579</v>
      </c>
      <c r="T146" s="138">
        <v>4197</v>
      </c>
      <c r="U146" s="151"/>
      <c r="W146" s="183">
        <v>-19</v>
      </c>
      <c r="X146" s="183">
        <v>51</v>
      </c>
      <c r="Y146" s="184">
        <v>59</v>
      </c>
      <c r="Z146" s="130">
        <v>403</v>
      </c>
      <c r="AA146" s="131">
        <v>0</v>
      </c>
      <c r="AB146" s="130">
        <v>0</v>
      </c>
      <c r="AC146" s="184">
        <v>-344</v>
      </c>
      <c r="AD146" s="184">
        <v>0</v>
      </c>
      <c r="AE146" s="183">
        <v>0</v>
      </c>
      <c r="AF146" s="183">
        <v>0</v>
      </c>
      <c r="AG146" s="183">
        <v>-344</v>
      </c>
      <c r="AH146" s="183">
        <v>2572</v>
      </c>
      <c r="AI146" s="183">
        <v>59</v>
      </c>
      <c r="AJ146" s="167"/>
      <c r="AK146" s="183">
        <v>-11</v>
      </c>
      <c r="AL146" s="183">
        <v>-313</v>
      </c>
      <c r="AM146" s="180">
        <v>-1130</v>
      </c>
      <c r="AN146" s="139">
        <v>2579</v>
      </c>
      <c r="AO146" s="138">
        <v>2126</v>
      </c>
      <c r="AP146" s="184">
        <v>121</v>
      </c>
      <c r="AQ146" s="138">
        <v>332</v>
      </c>
      <c r="AR146" s="109">
        <v>21.5</v>
      </c>
      <c r="AS146" s="144"/>
      <c r="AT146" s="139">
        <v>228</v>
      </c>
      <c r="AU146" s="228">
        <v>1089</v>
      </c>
      <c r="AV146" s="138"/>
      <c r="AW146" s="224">
        <v>-0.57055214723926384</v>
      </c>
      <c r="AX146" s="225">
        <v>65.116279069767444</v>
      </c>
      <c r="AY146" s="139">
        <v>-2230.4866850321396</v>
      </c>
      <c r="AZ146" s="144"/>
      <c r="BA146"/>
      <c r="BC146" s="189">
        <v>52.005568606978159</v>
      </c>
      <c r="BD146" s="183">
        <v>2577.5941230486687</v>
      </c>
      <c r="BE146" s="140">
        <v>109.50780247969217</v>
      </c>
      <c r="BF146" s="139">
        <v>8591.368227731864</v>
      </c>
      <c r="BG146" s="184">
        <v>2199</v>
      </c>
      <c r="BH146" s="216">
        <v>1624</v>
      </c>
      <c r="BI146" s="216">
        <v>8987</v>
      </c>
      <c r="BJ146" s="216">
        <v>-7361</v>
      </c>
      <c r="BK146" s="216">
        <v>2657</v>
      </c>
      <c r="BL146" s="216">
        <v>4190</v>
      </c>
      <c r="BM146" s="151"/>
      <c r="BO146" s="216">
        <v>-19</v>
      </c>
      <c r="BP146" s="216">
        <v>141</v>
      </c>
      <c r="BQ146" s="216">
        <v>-392</v>
      </c>
      <c r="BR146" s="216">
        <v>399</v>
      </c>
      <c r="BS146" s="216">
        <v>0</v>
      </c>
      <c r="BT146" s="216">
        <v>0</v>
      </c>
      <c r="BU146" s="216">
        <v>-791</v>
      </c>
      <c r="BV146" s="184">
        <v>0</v>
      </c>
      <c r="BW146" s="183">
        <v>0</v>
      </c>
      <c r="BX146" s="183">
        <v>0</v>
      </c>
      <c r="BY146" s="183">
        <v>-791</v>
      </c>
      <c r="BZ146" s="183">
        <v>1781</v>
      </c>
      <c r="CA146" s="183">
        <v>-390</v>
      </c>
      <c r="CB146" s="167"/>
      <c r="CC146" s="183">
        <v>-75</v>
      </c>
      <c r="CD146" s="183">
        <v>-270</v>
      </c>
      <c r="CE146" s="180">
        <v>-461</v>
      </c>
      <c r="CF146" s="139">
        <v>2657</v>
      </c>
      <c r="CG146" s="216">
        <v>2207</v>
      </c>
      <c r="CH146" s="216">
        <v>114</v>
      </c>
      <c r="CI146" s="216">
        <v>336</v>
      </c>
      <c r="CJ146" s="212">
        <v>22</v>
      </c>
      <c r="CK146" s="144"/>
      <c r="CL146" s="130">
        <v>282</v>
      </c>
      <c r="CM146" s="228">
        <v>1078</v>
      </c>
      <c r="CN146" s="138"/>
      <c r="CO146" s="142">
        <v>1.1638513513513513</v>
      </c>
      <c r="CP146" s="142">
        <v>60.712316683206531</v>
      </c>
      <c r="CQ146" s="183">
        <v>-1534.3228200371057</v>
      </c>
      <c r="CR146" s="144"/>
      <c r="CS146"/>
      <c r="CU146" s="232">
        <v>53.184253039707507</v>
      </c>
      <c r="CV146" s="143">
        <v>3385.8998144712432</v>
      </c>
      <c r="CW146" s="146">
        <v>146.09606316482069</v>
      </c>
      <c r="CX146" s="143">
        <v>8459.1836734693879</v>
      </c>
      <c r="CY146" s="131">
        <v>2692</v>
      </c>
      <c r="CZ146" s="229">
        <v>1651</v>
      </c>
      <c r="DA146" s="229">
        <v>8439</v>
      </c>
      <c r="DB146" s="216">
        <v>-6788</v>
      </c>
      <c r="DC146" s="229">
        <v>2736</v>
      </c>
      <c r="DD146" s="229">
        <v>4682</v>
      </c>
      <c r="DE146" s="151"/>
      <c r="DG146" s="229">
        <v>-13</v>
      </c>
      <c r="DH146" s="229">
        <v>58</v>
      </c>
      <c r="DI146" s="229">
        <v>675</v>
      </c>
      <c r="DJ146" s="229">
        <v>397</v>
      </c>
      <c r="DK146" s="229">
        <v>0</v>
      </c>
      <c r="DL146" s="229">
        <v>0</v>
      </c>
      <c r="DM146" s="229">
        <v>278</v>
      </c>
      <c r="DN146" s="131">
        <v>0</v>
      </c>
      <c r="DO146" s="130">
        <v>0</v>
      </c>
      <c r="DP146" s="130">
        <v>0</v>
      </c>
      <c r="DQ146" s="130">
        <v>278</v>
      </c>
      <c r="DR146" s="130">
        <v>2059</v>
      </c>
      <c r="DS146" s="130">
        <v>675</v>
      </c>
      <c r="DT146" s="167"/>
      <c r="DU146" s="183">
        <v>78</v>
      </c>
      <c r="DV146" s="183">
        <v>-578</v>
      </c>
      <c r="DW146" s="180">
        <v>779</v>
      </c>
      <c r="DX146" s="130">
        <v>2736</v>
      </c>
      <c r="DY146" s="229">
        <v>2300</v>
      </c>
      <c r="DZ146" s="229">
        <v>138</v>
      </c>
      <c r="EA146" s="229">
        <v>298</v>
      </c>
      <c r="EB146" s="212">
        <v>22</v>
      </c>
      <c r="EC146" s="208"/>
      <c r="ED146" s="183">
        <v>172.88970588235199</v>
      </c>
      <c r="EE146" s="3">
        <v>4920</v>
      </c>
      <c r="EF146" s="183">
        <v>5475</v>
      </c>
      <c r="EG146" s="130">
        <v>4426</v>
      </c>
      <c r="EH146" s="130"/>
      <c r="EI146" s="130"/>
      <c r="EJ146" s="130">
        <v>150</v>
      </c>
      <c r="EK146" s="183">
        <v>-1192</v>
      </c>
      <c r="EL146" s="183">
        <v>3</v>
      </c>
      <c r="EM146" s="183">
        <v>0</v>
      </c>
      <c r="EN146" s="226">
        <v>-127</v>
      </c>
      <c r="EO146" s="226">
        <v>8</v>
      </c>
      <c r="EP146" s="226">
        <v>48</v>
      </c>
      <c r="EQ146" s="226">
        <v>-49</v>
      </c>
      <c r="ER146" s="230">
        <v>0</v>
      </c>
      <c r="ES146" s="230">
        <v>153</v>
      </c>
      <c r="ET146" s="3">
        <v>699</v>
      </c>
      <c r="EU146" s="211">
        <v>0</v>
      </c>
      <c r="EV146" s="183">
        <v>400</v>
      </c>
      <c r="EW146" s="183">
        <v>500</v>
      </c>
      <c r="EX146" s="130">
        <v>400</v>
      </c>
      <c r="EY146" s="183">
        <v>100</v>
      </c>
      <c r="EZ146" s="3">
        <v>3380</v>
      </c>
      <c r="FA146" s="3">
        <v>2110</v>
      </c>
      <c r="FB146" s="3">
        <v>1270</v>
      </c>
      <c r="FC146" s="3">
        <v>96</v>
      </c>
      <c r="FD146" s="226">
        <v>4011</v>
      </c>
      <c r="FE146" s="183">
        <v>2183</v>
      </c>
      <c r="FF146" s="183">
        <v>1828</v>
      </c>
      <c r="FG146" s="183">
        <v>95</v>
      </c>
      <c r="FH146" s="230">
        <v>3933</v>
      </c>
      <c r="FI146" s="130">
        <v>1973</v>
      </c>
      <c r="FJ146" s="130">
        <v>1960</v>
      </c>
      <c r="FK146" s="130">
        <v>93</v>
      </c>
      <c r="FL146" s="29">
        <v>3586.050724637681</v>
      </c>
      <c r="FM146" s="139">
        <v>4372.8191000918268</v>
      </c>
      <c r="FN146" s="139">
        <v>4926.7161410018552</v>
      </c>
      <c r="FO146" s="172">
        <f t="shared" si="6"/>
        <v>104.54545454545455</v>
      </c>
      <c r="FP146" s="170">
        <f t="shared" si="7"/>
        <v>96.98094113678529</v>
      </c>
      <c r="FR146" s="175"/>
      <c r="FS146" s="195"/>
      <c r="FV146" s="175">
        <v>373</v>
      </c>
      <c r="FW146" s="2">
        <f t="shared" si="8"/>
        <v>-373</v>
      </c>
      <c r="FZ146" s="186"/>
      <c r="GA146" s="2"/>
      <c r="GB146" s="2"/>
    </row>
    <row r="147" spans="1:184" ht="13" x14ac:dyDescent="0.3">
      <c r="A147" s="77">
        <v>484</v>
      </c>
      <c r="B147" s="75" t="s">
        <v>144</v>
      </c>
      <c r="C147" s="179">
        <v>3115</v>
      </c>
      <c r="D147" s="138"/>
      <c r="E147" s="142">
        <v>-2.6086956521739131</v>
      </c>
      <c r="F147" s="142">
        <v>15.409547437077348</v>
      </c>
      <c r="G147" s="183">
        <v>-496.62921348314609</v>
      </c>
      <c r="H147" s="144"/>
      <c r="I147" s="186"/>
      <c r="K147" s="210">
        <v>83.642325640055489</v>
      </c>
      <c r="L147" s="143">
        <v>542.21508828250398</v>
      </c>
      <c r="M147" s="146">
        <v>23.001455115289904</v>
      </c>
      <c r="N147" s="143">
        <v>8604.1733547351523</v>
      </c>
      <c r="O147" s="138">
        <v>6785</v>
      </c>
      <c r="P147" s="143">
        <v>3982</v>
      </c>
      <c r="Q147" s="184">
        <v>25379</v>
      </c>
      <c r="R147" s="184">
        <v>-21397</v>
      </c>
      <c r="S147" s="139">
        <v>9286</v>
      </c>
      <c r="T147" s="138">
        <v>11723</v>
      </c>
      <c r="U147" s="151"/>
      <c r="W147" s="183">
        <v>0</v>
      </c>
      <c r="X147" s="183">
        <v>22</v>
      </c>
      <c r="Y147" s="184">
        <v>-366</v>
      </c>
      <c r="Z147" s="130">
        <v>1280</v>
      </c>
      <c r="AA147" s="130">
        <v>0</v>
      </c>
      <c r="AB147" s="130">
        <v>0</v>
      </c>
      <c r="AC147" s="184">
        <v>-1646</v>
      </c>
      <c r="AD147" s="184">
        <v>0</v>
      </c>
      <c r="AE147" s="183">
        <v>0</v>
      </c>
      <c r="AF147" s="183">
        <v>0</v>
      </c>
      <c r="AG147" s="183">
        <v>-1646</v>
      </c>
      <c r="AH147" s="183">
        <v>5890</v>
      </c>
      <c r="AI147" s="183">
        <v>-405</v>
      </c>
      <c r="AJ147" s="167"/>
      <c r="AK147" s="183">
        <v>294</v>
      </c>
      <c r="AL147" s="183">
        <v>-132</v>
      </c>
      <c r="AM147" s="180">
        <v>-1606</v>
      </c>
      <c r="AN147" s="139">
        <v>9286</v>
      </c>
      <c r="AO147" s="138">
        <v>7459</v>
      </c>
      <c r="AP147" s="184">
        <v>817</v>
      </c>
      <c r="AQ147" s="138">
        <v>1010</v>
      </c>
      <c r="AR147" s="109">
        <v>19.5</v>
      </c>
      <c r="AS147" s="144"/>
      <c r="AT147" s="139">
        <v>278</v>
      </c>
      <c r="AU147" s="228">
        <v>3067</v>
      </c>
      <c r="AV147" s="138"/>
      <c r="AW147" s="224">
        <v>0.62439917601281758</v>
      </c>
      <c r="AX147" s="225">
        <v>24.686455671319049</v>
      </c>
      <c r="AY147" s="139">
        <v>-1251.7117704597326</v>
      </c>
      <c r="AZ147" s="144"/>
      <c r="BA147"/>
      <c r="BC147" s="189">
        <v>74.77830562153602</v>
      </c>
      <c r="BD147" s="183">
        <v>441.47375285295078</v>
      </c>
      <c r="BE147" s="140">
        <v>17.330972085846543</v>
      </c>
      <c r="BF147" s="139">
        <v>9297.6850342354101</v>
      </c>
      <c r="BG147" s="184">
        <v>6848</v>
      </c>
      <c r="BH147" s="216">
        <v>3841</v>
      </c>
      <c r="BI147" s="216">
        <v>25213</v>
      </c>
      <c r="BJ147" s="216">
        <v>-21372</v>
      </c>
      <c r="BK147" s="216">
        <v>10012</v>
      </c>
      <c r="BL147" s="216">
        <v>11582</v>
      </c>
      <c r="BM147" s="151"/>
      <c r="BO147" s="216">
        <v>28</v>
      </c>
      <c r="BP147" s="216">
        <v>85</v>
      </c>
      <c r="BQ147" s="216">
        <v>335</v>
      </c>
      <c r="BR147" s="216">
        <v>1322</v>
      </c>
      <c r="BS147" s="216">
        <v>0</v>
      </c>
      <c r="BT147" s="216">
        <v>0</v>
      </c>
      <c r="BU147" s="216">
        <v>-987</v>
      </c>
      <c r="BV147" s="184">
        <v>0</v>
      </c>
      <c r="BW147" s="183">
        <v>0</v>
      </c>
      <c r="BX147" s="183">
        <v>0</v>
      </c>
      <c r="BY147" s="183">
        <v>-987</v>
      </c>
      <c r="BZ147" s="183">
        <v>4883</v>
      </c>
      <c r="CA147" s="183">
        <v>328</v>
      </c>
      <c r="CB147" s="167"/>
      <c r="CC147" s="183">
        <v>-472</v>
      </c>
      <c r="CD147" s="183">
        <v>-269</v>
      </c>
      <c r="CE147" s="180">
        <v>-2278</v>
      </c>
      <c r="CF147" s="139">
        <v>10012</v>
      </c>
      <c r="CG147" s="216">
        <v>7957</v>
      </c>
      <c r="CH147" s="216">
        <v>1032</v>
      </c>
      <c r="CI147" s="216">
        <v>1023</v>
      </c>
      <c r="CJ147" s="212">
        <v>20.5</v>
      </c>
      <c r="CK147" s="144"/>
      <c r="CL147" s="130">
        <v>176</v>
      </c>
      <c r="CM147" s="228">
        <v>3066</v>
      </c>
      <c r="CN147" s="138"/>
      <c r="CO147" s="142">
        <v>6.6732394366197187</v>
      </c>
      <c r="CP147" s="142">
        <v>22.480251609128146</v>
      </c>
      <c r="CQ147" s="183">
        <v>0.32615786040443573</v>
      </c>
      <c r="CR147" s="144"/>
      <c r="CS147"/>
      <c r="CU147" s="232">
        <v>76.305097738597169</v>
      </c>
      <c r="CV147" s="143">
        <v>799.41291585127203</v>
      </c>
      <c r="CW147" s="146">
        <v>33.466070626963941</v>
      </c>
      <c r="CX147" s="143">
        <v>8718.8519243313767</v>
      </c>
      <c r="CY147" s="131">
        <v>6624</v>
      </c>
      <c r="CZ147" s="229">
        <v>3799</v>
      </c>
      <c r="DA147" s="229">
        <v>25017</v>
      </c>
      <c r="DB147" s="216">
        <v>-21218</v>
      </c>
      <c r="DC147" s="229">
        <v>11297</v>
      </c>
      <c r="DD147" s="229">
        <v>12248</v>
      </c>
      <c r="DE147" s="151"/>
      <c r="DG147" s="229">
        <v>9</v>
      </c>
      <c r="DH147" s="229">
        <v>21</v>
      </c>
      <c r="DI147" s="229">
        <v>2357</v>
      </c>
      <c r="DJ147" s="229">
        <v>1337</v>
      </c>
      <c r="DK147" s="229">
        <v>0</v>
      </c>
      <c r="DL147" s="229">
        <v>0</v>
      </c>
      <c r="DM147" s="229">
        <v>1020</v>
      </c>
      <c r="DN147" s="131">
        <v>0</v>
      </c>
      <c r="DO147" s="130">
        <v>0</v>
      </c>
      <c r="DP147" s="130">
        <v>0</v>
      </c>
      <c r="DQ147" s="130">
        <v>1020</v>
      </c>
      <c r="DR147" s="130">
        <v>5902</v>
      </c>
      <c r="DS147" s="130">
        <v>2286</v>
      </c>
      <c r="DT147" s="167"/>
      <c r="DU147" s="183">
        <v>-2611</v>
      </c>
      <c r="DV147" s="183">
        <v>-343</v>
      </c>
      <c r="DW147" s="180">
        <v>3644</v>
      </c>
      <c r="DX147" s="130">
        <v>11297</v>
      </c>
      <c r="DY147" s="229">
        <v>8160</v>
      </c>
      <c r="DZ147" s="229">
        <v>2040</v>
      </c>
      <c r="EA147" s="229">
        <v>1097</v>
      </c>
      <c r="EB147" s="212">
        <v>20.5</v>
      </c>
      <c r="EC147" s="208"/>
      <c r="ED147" s="183">
        <v>98.345588235294201</v>
      </c>
      <c r="EE147" s="3">
        <v>16027</v>
      </c>
      <c r="EF147" s="183">
        <v>16164</v>
      </c>
      <c r="EG147" s="130">
        <v>16219</v>
      </c>
      <c r="EH147" s="130"/>
      <c r="EI147" s="130"/>
      <c r="EJ147" s="130"/>
      <c r="EK147" s="183">
        <v>-1272</v>
      </c>
      <c r="EL147" s="183">
        <v>12</v>
      </c>
      <c r="EM147" s="183">
        <v>59</v>
      </c>
      <c r="EN147" s="226">
        <v>-3026</v>
      </c>
      <c r="EO147" s="226">
        <v>260</v>
      </c>
      <c r="EP147" s="226">
        <v>160</v>
      </c>
      <c r="EQ147" s="226">
        <v>-1360</v>
      </c>
      <c r="ER147" s="230">
        <v>38</v>
      </c>
      <c r="ES147" s="230">
        <v>2680</v>
      </c>
      <c r="ET147" s="3">
        <v>0</v>
      </c>
      <c r="EU147" s="211">
        <v>-13</v>
      </c>
      <c r="EV147" s="183">
        <v>2600</v>
      </c>
      <c r="EW147" s="183">
        <v>137</v>
      </c>
      <c r="EX147" s="130">
        <v>0</v>
      </c>
      <c r="EY147" s="183">
        <v>74</v>
      </c>
      <c r="EZ147" s="3">
        <v>950</v>
      </c>
      <c r="FA147" s="3">
        <v>818</v>
      </c>
      <c r="FB147" s="3">
        <v>132</v>
      </c>
      <c r="FC147" s="3">
        <v>149</v>
      </c>
      <c r="FD147" s="226">
        <v>3418</v>
      </c>
      <c r="FE147" s="183">
        <v>3149</v>
      </c>
      <c r="FF147" s="183">
        <v>269</v>
      </c>
      <c r="FG147" s="183">
        <v>141</v>
      </c>
      <c r="FH147" s="230">
        <v>3149</v>
      </c>
      <c r="FI147" s="130">
        <v>2806</v>
      </c>
      <c r="FJ147" s="130">
        <v>343</v>
      </c>
      <c r="FK147" s="130">
        <v>132</v>
      </c>
      <c r="FL147" s="29">
        <v>768.86035313001605</v>
      </c>
      <c r="FM147" s="139">
        <v>1594.7179654385393</v>
      </c>
      <c r="FN147" s="139">
        <v>1485.3228962818005</v>
      </c>
      <c r="FO147" s="172">
        <f t="shared" si="6"/>
        <v>398.04878048780489</v>
      </c>
      <c r="FP147" s="170">
        <f t="shared" si="7"/>
        <v>129.82673858049733</v>
      </c>
      <c r="FR147" s="175"/>
      <c r="FS147" s="195"/>
      <c r="FV147" s="175">
        <v>322</v>
      </c>
      <c r="FW147" s="2">
        <f t="shared" si="8"/>
        <v>-322</v>
      </c>
      <c r="FZ147" s="186"/>
      <c r="GA147" s="2"/>
      <c r="GB147" s="2"/>
    </row>
    <row r="148" spans="1:184" ht="13" x14ac:dyDescent="0.3">
      <c r="A148" s="77">
        <v>489</v>
      </c>
      <c r="B148" s="75" t="s">
        <v>145</v>
      </c>
      <c r="C148" s="179">
        <v>1940</v>
      </c>
      <c r="D148" s="138"/>
      <c r="E148" s="142">
        <v>0.84359400998336109</v>
      </c>
      <c r="F148" s="142">
        <v>47.143781859373739</v>
      </c>
      <c r="G148" s="183">
        <v>-4496.9072164948457</v>
      </c>
      <c r="H148" s="144"/>
      <c r="I148" s="186"/>
      <c r="K148" s="210">
        <v>56.986160188457006</v>
      </c>
      <c r="L148" s="143">
        <v>794.84536082474222</v>
      </c>
      <c r="M148" s="146">
        <v>21.999296435272043</v>
      </c>
      <c r="N148" s="143">
        <v>13187.628865979381</v>
      </c>
      <c r="O148" s="138">
        <v>9271</v>
      </c>
      <c r="P148" s="143">
        <v>11296</v>
      </c>
      <c r="Q148" s="184">
        <v>24101</v>
      </c>
      <c r="R148" s="184">
        <v>-12805</v>
      </c>
      <c r="S148" s="139">
        <v>5616</v>
      </c>
      <c r="T148" s="138">
        <v>7806</v>
      </c>
      <c r="U148" s="151"/>
      <c r="W148" s="183">
        <v>-23</v>
      </c>
      <c r="X148" s="183">
        <v>-123</v>
      </c>
      <c r="Y148" s="184">
        <v>471</v>
      </c>
      <c r="Z148" s="130">
        <v>936</v>
      </c>
      <c r="AA148" s="130">
        <v>0</v>
      </c>
      <c r="AB148" s="130">
        <v>0</v>
      </c>
      <c r="AC148" s="184">
        <v>-465</v>
      </c>
      <c r="AD148" s="183">
        <v>0</v>
      </c>
      <c r="AE148" s="183">
        <v>0</v>
      </c>
      <c r="AF148" s="183">
        <v>0</v>
      </c>
      <c r="AG148" s="183">
        <v>-465</v>
      </c>
      <c r="AH148" s="183">
        <v>7382</v>
      </c>
      <c r="AI148" s="183">
        <v>468</v>
      </c>
      <c r="AJ148" s="167"/>
      <c r="AK148" s="183">
        <v>-98</v>
      </c>
      <c r="AL148" s="183">
        <v>-565</v>
      </c>
      <c r="AM148" s="180">
        <v>-199</v>
      </c>
      <c r="AN148" s="139">
        <v>5616</v>
      </c>
      <c r="AO148" s="138">
        <v>4349</v>
      </c>
      <c r="AP148" s="184">
        <v>777</v>
      </c>
      <c r="AQ148" s="138">
        <v>490</v>
      </c>
      <c r="AR148" s="109">
        <v>20</v>
      </c>
      <c r="AS148" s="144"/>
      <c r="AT148" s="139">
        <v>142</v>
      </c>
      <c r="AU148" s="228">
        <v>1857</v>
      </c>
      <c r="AV148" s="138"/>
      <c r="AW148" s="224">
        <v>0.95677119398555743</v>
      </c>
      <c r="AX148" s="225">
        <v>61.58657605100138</v>
      </c>
      <c r="AY148" s="139">
        <v>-4370.4900376952073</v>
      </c>
      <c r="AZ148" s="144"/>
      <c r="BA148"/>
      <c r="BC148" s="189">
        <v>60.517314270340904</v>
      </c>
      <c r="BD148" s="183">
        <v>785.13731825525031</v>
      </c>
      <c r="BE148" s="140">
        <v>31.942977190876352</v>
      </c>
      <c r="BF148" s="139">
        <v>8971.4593430263867</v>
      </c>
      <c r="BG148" s="184">
        <v>2143</v>
      </c>
      <c r="BH148" s="216">
        <v>2970</v>
      </c>
      <c r="BI148" s="216">
        <v>15453</v>
      </c>
      <c r="BJ148" s="216">
        <v>-12483</v>
      </c>
      <c r="BK148" s="216">
        <v>5882</v>
      </c>
      <c r="BL148" s="216">
        <v>7775</v>
      </c>
      <c r="BM148" s="151"/>
      <c r="BO148" s="216">
        <v>-16</v>
      </c>
      <c r="BP148" s="216">
        <v>19</v>
      </c>
      <c r="BQ148" s="216">
        <v>1177</v>
      </c>
      <c r="BR148" s="216">
        <v>913</v>
      </c>
      <c r="BS148" s="216">
        <v>0</v>
      </c>
      <c r="BT148" s="216">
        <v>0</v>
      </c>
      <c r="BU148" s="216">
        <v>264</v>
      </c>
      <c r="BV148" s="183">
        <v>0</v>
      </c>
      <c r="BW148" s="183">
        <v>0</v>
      </c>
      <c r="BX148" s="183">
        <v>0</v>
      </c>
      <c r="BY148" s="183">
        <v>264</v>
      </c>
      <c r="BZ148" s="183">
        <v>7646</v>
      </c>
      <c r="CA148" s="183">
        <v>1177</v>
      </c>
      <c r="CB148" s="167"/>
      <c r="CC148" s="183">
        <v>710</v>
      </c>
      <c r="CD148" s="183">
        <v>-565</v>
      </c>
      <c r="CE148" s="180">
        <v>608</v>
      </c>
      <c r="CF148" s="139">
        <v>5882</v>
      </c>
      <c r="CG148" s="216">
        <v>4591</v>
      </c>
      <c r="CH148" s="216">
        <v>796</v>
      </c>
      <c r="CI148" s="216">
        <v>495</v>
      </c>
      <c r="CJ148" s="212">
        <v>20.5</v>
      </c>
      <c r="CK148" s="144"/>
      <c r="CL148" s="130">
        <v>14</v>
      </c>
      <c r="CM148" s="228">
        <v>1868</v>
      </c>
      <c r="CN148" s="138"/>
      <c r="CO148" s="142">
        <v>3.3865546218487395</v>
      </c>
      <c r="CP148" s="142">
        <v>57.040173845210902</v>
      </c>
      <c r="CQ148" s="183">
        <v>-3320.1284796573877</v>
      </c>
      <c r="CR148" s="144"/>
      <c r="CS148"/>
      <c r="CU148" s="232">
        <v>60.9429719467689</v>
      </c>
      <c r="CV148" s="143">
        <v>1702.3554603854391</v>
      </c>
      <c r="CW148" s="146">
        <v>68.425396451099445</v>
      </c>
      <c r="CX148" s="143">
        <v>9080.8351177730201</v>
      </c>
      <c r="CY148" s="131">
        <v>3085</v>
      </c>
      <c r="CZ148" s="229">
        <v>3969</v>
      </c>
      <c r="DA148" s="229">
        <v>15961</v>
      </c>
      <c r="DB148" s="216">
        <v>-11992</v>
      </c>
      <c r="DC148" s="229">
        <v>5843</v>
      </c>
      <c r="DD148" s="229">
        <v>8135</v>
      </c>
      <c r="DE148" s="151"/>
      <c r="DG148" s="229">
        <v>-20</v>
      </c>
      <c r="DH148" s="229">
        <v>19</v>
      </c>
      <c r="DI148" s="229">
        <v>1985</v>
      </c>
      <c r="DJ148" s="229">
        <v>1199</v>
      </c>
      <c r="DK148" s="229">
        <v>0</v>
      </c>
      <c r="DL148" s="229">
        <v>0</v>
      </c>
      <c r="DM148" s="229">
        <v>786</v>
      </c>
      <c r="DN148" s="130">
        <v>0</v>
      </c>
      <c r="DO148" s="130">
        <v>0</v>
      </c>
      <c r="DP148" s="130">
        <v>0</v>
      </c>
      <c r="DQ148" s="130">
        <v>786</v>
      </c>
      <c r="DR148" s="130">
        <v>8432</v>
      </c>
      <c r="DS148" s="130">
        <v>2305</v>
      </c>
      <c r="DT148" s="167"/>
      <c r="DU148" s="183">
        <v>-194</v>
      </c>
      <c r="DV148" s="183">
        <v>-565</v>
      </c>
      <c r="DW148" s="180">
        <v>1914</v>
      </c>
      <c r="DX148" s="130">
        <v>5843</v>
      </c>
      <c r="DY148" s="229">
        <v>4551</v>
      </c>
      <c r="DZ148" s="229">
        <v>850</v>
      </c>
      <c r="EA148" s="229">
        <v>442</v>
      </c>
      <c r="EB148" s="212">
        <v>20.5</v>
      </c>
      <c r="EC148" s="208"/>
      <c r="ED148" s="183">
        <v>23.801470588235301</v>
      </c>
      <c r="EE148" s="3">
        <v>12423</v>
      </c>
      <c r="EF148" s="183">
        <v>12164</v>
      </c>
      <c r="EG148" s="130">
        <v>11422</v>
      </c>
      <c r="EH148" s="130"/>
      <c r="EI148" s="130"/>
      <c r="EJ148" s="130"/>
      <c r="EK148" s="183">
        <v>-742</v>
      </c>
      <c r="EL148" s="183">
        <v>72</v>
      </c>
      <c r="EM148" s="183">
        <v>3</v>
      </c>
      <c r="EN148" s="226">
        <v>-608</v>
      </c>
      <c r="EO148" s="226">
        <v>20</v>
      </c>
      <c r="EP148" s="226">
        <v>19</v>
      </c>
      <c r="EQ148" s="226">
        <v>-401</v>
      </c>
      <c r="ER148" s="230">
        <v>0</v>
      </c>
      <c r="ES148" s="230">
        <v>10</v>
      </c>
      <c r="ET148" s="3">
        <v>0</v>
      </c>
      <c r="EU148" s="211">
        <v>0</v>
      </c>
      <c r="EV148" s="183">
        <v>0</v>
      </c>
      <c r="EW148" s="183">
        <v>2000</v>
      </c>
      <c r="EX148" s="130">
        <v>0</v>
      </c>
      <c r="EY148" s="183">
        <v>0</v>
      </c>
      <c r="EZ148" s="3">
        <v>7944</v>
      </c>
      <c r="FA148" s="3">
        <v>3380</v>
      </c>
      <c r="FB148" s="3">
        <v>4564</v>
      </c>
      <c r="FC148" s="3">
        <v>205</v>
      </c>
      <c r="FD148" s="226">
        <v>9379</v>
      </c>
      <c r="FE148" s="183">
        <v>2815</v>
      </c>
      <c r="FF148" s="183">
        <v>6564</v>
      </c>
      <c r="FG148" s="183">
        <v>205</v>
      </c>
      <c r="FH148" s="230">
        <v>8815</v>
      </c>
      <c r="FI148" s="130">
        <v>2251</v>
      </c>
      <c r="FJ148" s="130">
        <v>6564</v>
      </c>
      <c r="FK148" s="130">
        <v>205</v>
      </c>
      <c r="FL148" s="29">
        <v>4782.4742268041236</v>
      </c>
      <c r="FM148" s="139">
        <v>6073.2364028002148</v>
      </c>
      <c r="FN148" s="139">
        <v>5793.361884368308</v>
      </c>
      <c r="FO148" s="172">
        <f t="shared" si="6"/>
        <v>222</v>
      </c>
      <c r="FP148" s="170">
        <f t="shared" si="7"/>
        <v>118.84368308351178</v>
      </c>
      <c r="FR148" s="175"/>
      <c r="FS148" s="195"/>
      <c r="FV148" s="175">
        <v>105</v>
      </c>
      <c r="FW148" s="2">
        <f t="shared" si="8"/>
        <v>-105</v>
      </c>
      <c r="FZ148" s="186"/>
      <c r="GA148" s="2"/>
      <c r="GB148" s="2"/>
    </row>
    <row r="149" spans="1:184" ht="13" x14ac:dyDescent="0.3">
      <c r="A149" s="77">
        <v>491</v>
      </c>
      <c r="B149" s="75" t="s">
        <v>146</v>
      </c>
      <c r="C149" s="179">
        <v>53818</v>
      </c>
      <c r="D149" s="138"/>
      <c r="E149" s="142">
        <v>0.25485682201010668</v>
      </c>
      <c r="F149" s="142">
        <v>73.231578635286766</v>
      </c>
      <c r="G149" s="183">
        <v>-4586.6810360845811</v>
      </c>
      <c r="H149" s="144"/>
      <c r="I149" s="186"/>
      <c r="K149" s="210">
        <v>42.692461197788461</v>
      </c>
      <c r="L149" s="143">
        <v>1.1334497751681594</v>
      </c>
      <c r="M149" s="146">
        <v>5.2335407318259919E-2</v>
      </c>
      <c r="N149" s="143">
        <v>7904.9574491805715</v>
      </c>
      <c r="O149" s="138">
        <v>97601</v>
      </c>
      <c r="P149" s="143">
        <v>60948</v>
      </c>
      <c r="Q149" s="184">
        <v>370437</v>
      </c>
      <c r="R149" s="184">
        <v>-309489</v>
      </c>
      <c r="S149" s="139">
        <v>199834</v>
      </c>
      <c r="T149" s="138">
        <v>110712</v>
      </c>
      <c r="U149" s="151"/>
      <c r="W149" s="183">
        <v>875</v>
      </c>
      <c r="X149" s="183">
        <v>1710</v>
      </c>
      <c r="Y149" s="184">
        <v>3642</v>
      </c>
      <c r="Z149" s="130">
        <v>17644</v>
      </c>
      <c r="AA149" s="130">
        <v>0</v>
      </c>
      <c r="AB149" s="130">
        <v>0</v>
      </c>
      <c r="AC149" s="184">
        <v>-14002</v>
      </c>
      <c r="AD149" s="184">
        <v>673</v>
      </c>
      <c r="AE149" s="183">
        <v>0</v>
      </c>
      <c r="AF149" s="183">
        <v>0</v>
      </c>
      <c r="AG149" s="183">
        <v>-13329</v>
      </c>
      <c r="AH149" s="183">
        <v>-8454</v>
      </c>
      <c r="AI149" s="183">
        <v>1455</v>
      </c>
      <c r="AJ149" s="167"/>
      <c r="AK149" s="183">
        <v>-7818</v>
      </c>
      <c r="AL149" s="183">
        <v>-16913</v>
      </c>
      <c r="AM149" s="180">
        <v>-30610</v>
      </c>
      <c r="AN149" s="139">
        <v>199834</v>
      </c>
      <c r="AO149" s="138">
        <v>167523</v>
      </c>
      <c r="AP149" s="184">
        <v>13164</v>
      </c>
      <c r="AQ149" s="138">
        <v>19147</v>
      </c>
      <c r="AR149" s="109">
        <v>20.5</v>
      </c>
      <c r="AS149" s="144"/>
      <c r="AT149" s="139">
        <v>225</v>
      </c>
      <c r="AU149" s="228">
        <v>53134</v>
      </c>
      <c r="AV149" s="138"/>
      <c r="AW149" s="224">
        <v>0.11398952586809476</v>
      </c>
      <c r="AX149" s="225">
        <v>84.415567464844244</v>
      </c>
      <c r="AY149" s="139">
        <v>-5533.7636917980954</v>
      </c>
      <c r="AZ149" s="144"/>
      <c r="BA149"/>
      <c r="BC149" s="189">
        <v>34.411644748525184</v>
      </c>
      <c r="BD149" s="183">
        <v>0.90337636917980957</v>
      </c>
      <c r="BE149" s="140">
        <v>3.9421547295731357E-2</v>
      </c>
      <c r="BF149" s="139">
        <v>8364.2677005307341</v>
      </c>
      <c r="BG149" s="184">
        <v>98545</v>
      </c>
      <c r="BH149" s="216">
        <v>63872</v>
      </c>
      <c r="BI149" s="216">
        <v>382225</v>
      </c>
      <c r="BJ149" s="216">
        <v>-317739</v>
      </c>
      <c r="BK149" s="216">
        <v>204311</v>
      </c>
      <c r="BL149" s="216">
        <v>114898</v>
      </c>
      <c r="BM149" s="151"/>
      <c r="BO149" s="216">
        <v>188</v>
      </c>
      <c r="BP149" s="216">
        <v>1474</v>
      </c>
      <c r="BQ149" s="216">
        <v>3132</v>
      </c>
      <c r="BR149" s="216">
        <v>21474</v>
      </c>
      <c r="BS149" s="216">
        <v>0</v>
      </c>
      <c r="BT149" s="216">
        <v>0</v>
      </c>
      <c r="BU149" s="216">
        <v>-18342</v>
      </c>
      <c r="BV149" s="184">
        <v>259</v>
      </c>
      <c r="BW149" s="183">
        <v>0</v>
      </c>
      <c r="BX149" s="183">
        <v>0</v>
      </c>
      <c r="BY149" s="183">
        <v>-18083</v>
      </c>
      <c r="BZ149" s="183">
        <v>-42184</v>
      </c>
      <c r="CA149" s="183">
        <v>550</v>
      </c>
      <c r="CB149" s="167"/>
      <c r="CC149" s="183">
        <v>-4502</v>
      </c>
      <c r="CD149" s="183">
        <v>-18959</v>
      </c>
      <c r="CE149" s="180">
        <v>-33253</v>
      </c>
      <c r="CF149" s="139">
        <v>204311</v>
      </c>
      <c r="CG149" s="216">
        <v>170262</v>
      </c>
      <c r="CH149" s="216">
        <v>14731</v>
      </c>
      <c r="CI149" s="216">
        <v>19318</v>
      </c>
      <c r="CJ149" s="212">
        <v>20.5</v>
      </c>
      <c r="CK149" s="144"/>
      <c r="CL149" s="130">
        <v>209</v>
      </c>
      <c r="CM149" s="228">
        <v>52583</v>
      </c>
      <c r="CN149" s="138"/>
      <c r="CO149" s="142">
        <v>1.6716165413533834</v>
      </c>
      <c r="CP149" s="142">
        <v>83.008927582036918</v>
      </c>
      <c r="CQ149" s="183">
        <v>-6121.4270771922484</v>
      </c>
      <c r="CR149" s="144"/>
      <c r="CS149"/>
      <c r="CU149" s="232">
        <v>34.041580530148089</v>
      </c>
      <c r="CV149" s="143">
        <v>1.1030180856930947</v>
      </c>
      <c r="CW149" s="146">
        <v>4.4420104661068514E-2</v>
      </c>
      <c r="CX149" s="143">
        <v>9063.4996101401593</v>
      </c>
      <c r="CY149" s="131">
        <v>95921</v>
      </c>
      <c r="CZ149" s="229">
        <v>56313</v>
      </c>
      <c r="DA149" s="229">
        <v>384701</v>
      </c>
      <c r="DB149" s="216">
        <v>-328388</v>
      </c>
      <c r="DC149" s="229">
        <v>222810</v>
      </c>
      <c r="DD149" s="229">
        <v>136838</v>
      </c>
      <c r="DE149" s="151"/>
      <c r="DG149" s="229">
        <v>-89</v>
      </c>
      <c r="DH149" s="229">
        <v>3161</v>
      </c>
      <c r="DI149" s="229">
        <v>34332</v>
      </c>
      <c r="DJ149" s="229">
        <v>25000</v>
      </c>
      <c r="DK149" s="229">
        <v>0</v>
      </c>
      <c r="DL149" s="229">
        <v>0</v>
      </c>
      <c r="DM149" s="229">
        <v>9332</v>
      </c>
      <c r="DN149" s="131">
        <v>32</v>
      </c>
      <c r="DO149" s="130">
        <v>84</v>
      </c>
      <c r="DP149" s="130">
        <v>0</v>
      </c>
      <c r="DQ149" s="130">
        <v>9448</v>
      </c>
      <c r="DR149" s="130">
        <v>-32736</v>
      </c>
      <c r="DS149" s="130">
        <v>33278</v>
      </c>
      <c r="DT149" s="167"/>
      <c r="DU149" s="183">
        <v>6658</v>
      </c>
      <c r="DV149" s="183">
        <v>-20040</v>
      </c>
      <c r="DW149" s="180">
        <v>-13483</v>
      </c>
      <c r="DX149" s="130">
        <v>222810</v>
      </c>
      <c r="DY149" s="229">
        <v>186073</v>
      </c>
      <c r="DZ149" s="229">
        <v>16974</v>
      </c>
      <c r="EA149" s="229">
        <v>19763</v>
      </c>
      <c r="EB149" s="212">
        <v>22</v>
      </c>
      <c r="EC149" s="208"/>
      <c r="ED149" s="183">
        <v>157.779411764705</v>
      </c>
      <c r="EE149" s="3">
        <v>233717</v>
      </c>
      <c r="EF149" s="183">
        <v>244850</v>
      </c>
      <c r="EG149" s="130">
        <v>249241</v>
      </c>
      <c r="EH149" s="130"/>
      <c r="EI149" s="130"/>
      <c r="EJ149" s="130">
        <v>2300</v>
      </c>
      <c r="EK149" s="183">
        <v>-34767</v>
      </c>
      <c r="EL149" s="183">
        <v>1288</v>
      </c>
      <c r="EM149" s="183">
        <v>1414</v>
      </c>
      <c r="EN149" s="226">
        <v>-39888</v>
      </c>
      <c r="EO149" s="226">
        <v>984</v>
      </c>
      <c r="EP149" s="226">
        <v>5101</v>
      </c>
      <c r="EQ149" s="226">
        <v>-50864</v>
      </c>
      <c r="ER149" s="230">
        <v>1877</v>
      </c>
      <c r="ES149" s="230">
        <v>2226</v>
      </c>
      <c r="ET149" s="3">
        <v>45000</v>
      </c>
      <c r="EU149" s="211">
        <v>-9213</v>
      </c>
      <c r="EV149" s="183">
        <v>65000</v>
      </c>
      <c r="EW149" s="183">
        <v>-10784</v>
      </c>
      <c r="EX149" s="130">
        <v>65000</v>
      </c>
      <c r="EY149" s="183">
        <v>-18276</v>
      </c>
      <c r="EZ149" s="3">
        <v>216579</v>
      </c>
      <c r="FA149" s="3">
        <v>147765</v>
      </c>
      <c r="FB149" s="3">
        <v>68814</v>
      </c>
      <c r="FC149" s="3">
        <v>22396</v>
      </c>
      <c r="FD149" s="226">
        <v>251835</v>
      </c>
      <c r="FE149" s="183">
        <v>191935</v>
      </c>
      <c r="FF149" s="183">
        <v>59900</v>
      </c>
      <c r="FG149" s="183">
        <v>21759</v>
      </c>
      <c r="FH149" s="230">
        <v>278517</v>
      </c>
      <c r="FI149" s="130">
        <v>233473</v>
      </c>
      <c r="FJ149" s="130">
        <v>45044</v>
      </c>
      <c r="FK149" s="130">
        <v>39016</v>
      </c>
      <c r="FL149" s="29">
        <v>9727.7862425210897</v>
      </c>
      <c r="FM149" s="139">
        <v>10935.916738811307</v>
      </c>
      <c r="FN149" s="139">
        <v>11307.00036133351</v>
      </c>
      <c r="FO149" s="172">
        <f t="shared" si="6"/>
        <v>8457.863636363636</v>
      </c>
      <c r="FP149" s="170">
        <f t="shared" si="7"/>
        <v>160.84787167646647</v>
      </c>
      <c r="FR149" s="175"/>
      <c r="FS149" s="195"/>
      <c r="FV149" s="175">
        <v>23127</v>
      </c>
      <c r="FW149" s="2">
        <f t="shared" si="8"/>
        <v>-23127</v>
      </c>
      <c r="FZ149" s="186"/>
      <c r="GA149" s="2"/>
      <c r="GB149" s="2"/>
    </row>
    <row r="150" spans="1:184" ht="13" x14ac:dyDescent="0.3">
      <c r="A150" s="77">
        <v>494</v>
      </c>
      <c r="B150" s="75" t="s">
        <v>147</v>
      </c>
      <c r="C150" s="179">
        <v>8980</v>
      </c>
      <c r="D150" s="138"/>
      <c r="E150" s="142">
        <v>0.28154191793780298</v>
      </c>
      <c r="F150" s="142">
        <v>76.861850816536702</v>
      </c>
      <c r="G150" s="183">
        <v>-4660.2449888641422</v>
      </c>
      <c r="H150" s="144"/>
      <c r="I150" s="186"/>
      <c r="K150" s="210">
        <v>36.779157279133308</v>
      </c>
      <c r="L150" s="143">
        <v>281.29175946547883</v>
      </c>
      <c r="M150" s="146">
        <v>11.940400953170327</v>
      </c>
      <c r="N150" s="143">
        <v>8598.6636971046755</v>
      </c>
      <c r="O150" s="138">
        <v>30094</v>
      </c>
      <c r="P150" s="143">
        <v>12947</v>
      </c>
      <c r="Q150" s="184">
        <v>65748</v>
      </c>
      <c r="R150" s="184">
        <v>-52801</v>
      </c>
      <c r="S150" s="139">
        <v>30082</v>
      </c>
      <c r="T150" s="138">
        <v>24941</v>
      </c>
      <c r="U150" s="151"/>
      <c r="W150" s="183">
        <v>-274</v>
      </c>
      <c r="X150" s="183">
        <v>30</v>
      </c>
      <c r="Y150" s="184">
        <v>1978</v>
      </c>
      <c r="Z150" s="130">
        <v>3368</v>
      </c>
      <c r="AA150" s="130">
        <v>0</v>
      </c>
      <c r="AB150" s="130">
        <v>0</v>
      </c>
      <c r="AC150" s="184">
        <v>-1390</v>
      </c>
      <c r="AD150" s="184">
        <v>25</v>
      </c>
      <c r="AE150" s="184">
        <v>0</v>
      </c>
      <c r="AF150" s="183">
        <v>0</v>
      </c>
      <c r="AG150" s="183">
        <v>-1365</v>
      </c>
      <c r="AH150" s="183">
        <v>3236</v>
      </c>
      <c r="AI150" s="183">
        <v>1855</v>
      </c>
      <c r="AJ150" s="167"/>
      <c r="AK150" s="183">
        <v>174</v>
      </c>
      <c r="AL150" s="183">
        <v>-8054</v>
      </c>
      <c r="AM150" s="180">
        <v>-788</v>
      </c>
      <c r="AN150" s="139">
        <v>30082</v>
      </c>
      <c r="AO150" s="138">
        <v>25620</v>
      </c>
      <c r="AP150" s="184">
        <v>782</v>
      </c>
      <c r="AQ150" s="138">
        <v>3680</v>
      </c>
      <c r="AR150" s="109">
        <v>21</v>
      </c>
      <c r="AS150" s="144"/>
      <c r="AT150" s="139">
        <v>153</v>
      </c>
      <c r="AU150" s="228">
        <v>8908</v>
      </c>
      <c r="AV150" s="138"/>
      <c r="AW150" s="224">
        <v>0.25722800230041304</v>
      </c>
      <c r="AX150" s="225">
        <v>86.387579706126971</v>
      </c>
      <c r="AY150" s="139">
        <v>-5584.9797934440949</v>
      </c>
      <c r="AZ150" s="144"/>
      <c r="BA150"/>
      <c r="BC150" s="189">
        <v>32.476073175968089</v>
      </c>
      <c r="BD150" s="183">
        <v>150.3143242029636</v>
      </c>
      <c r="BE150" s="140">
        <v>5.7058548829607147</v>
      </c>
      <c r="BF150" s="139">
        <v>9615.5141445891331</v>
      </c>
      <c r="BG150" s="184">
        <v>30830</v>
      </c>
      <c r="BH150" s="216">
        <v>12564</v>
      </c>
      <c r="BI150" s="216">
        <v>66812</v>
      </c>
      <c r="BJ150" s="216">
        <v>-54248</v>
      </c>
      <c r="BK150" s="216">
        <v>30871</v>
      </c>
      <c r="BL150" s="216">
        <v>25098</v>
      </c>
      <c r="BM150" s="151"/>
      <c r="BO150" s="216">
        <v>-252</v>
      </c>
      <c r="BP150" s="216">
        <v>1</v>
      </c>
      <c r="BQ150" s="216">
        <v>1470</v>
      </c>
      <c r="BR150" s="216">
        <v>3419</v>
      </c>
      <c r="BS150" s="216">
        <v>0</v>
      </c>
      <c r="BT150" s="216">
        <v>0</v>
      </c>
      <c r="BU150" s="216">
        <v>-1949</v>
      </c>
      <c r="BV150" s="184">
        <v>24</v>
      </c>
      <c r="BW150" s="184">
        <v>0</v>
      </c>
      <c r="BX150" s="183">
        <v>0</v>
      </c>
      <c r="BY150" s="183">
        <v>-1925</v>
      </c>
      <c r="BZ150" s="183">
        <v>1311</v>
      </c>
      <c r="CA150" s="183">
        <v>1384</v>
      </c>
      <c r="CB150" s="167"/>
      <c r="CC150" s="183">
        <v>-246</v>
      </c>
      <c r="CD150" s="183">
        <v>-8887</v>
      </c>
      <c r="CE150" s="180">
        <v>-7854</v>
      </c>
      <c r="CF150" s="139">
        <v>30871</v>
      </c>
      <c r="CG150" s="216">
        <v>26374</v>
      </c>
      <c r="CH150" s="216">
        <v>761</v>
      </c>
      <c r="CI150" s="216">
        <v>3736</v>
      </c>
      <c r="CJ150" s="212">
        <v>21.5</v>
      </c>
      <c r="CK150" s="144"/>
      <c r="CL150" s="130">
        <v>144</v>
      </c>
      <c r="CM150" s="228">
        <v>8903</v>
      </c>
      <c r="CN150" s="138"/>
      <c r="CO150" s="142">
        <v>0.52878218108186292</v>
      </c>
      <c r="CP150" s="142">
        <v>84.94099112794008</v>
      </c>
      <c r="CQ150" s="183">
        <v>-5605.4139054251373</v>
      </c>
      <c r="CR150" s="144"/>
      <c r="CS150"/>
      <c r="CU150" s="232">
        <v>29.012988499170337</v>
      </c>
      <c r="CV150" s="143">
        <v>179.0407727732225</v>
      </c>
      <c r="CW150" s="146">
        <v>6.9715415493379664</v>
      </c>
      <c r="CX150" s="143">
        <v>9373.8065820509946</v>
      </c>
      <c r="CY150" s="131">
        <v>30120</v>
      </c>
      <c r="CZ150" s="229">
        <v>12585</v>
      </c>
      <c r="DA150" s="229">
        <v>67080</v>
      </c>
      <c r="DB150" s="216">
        <v>-54495</v>
      </c>
      <c r="DC150" s="229">
        <v>30698</v>
      </c>
      <c r="DD150" s="229">
        <v>29173</v>
      </c>
      <c r="DE150" s="151"/>
      <c r="DG150" s="229">
        <v>-234</v>
      </c>
      <c r="DH150" s="229">
        <v>-4</v>
      </c>
      <c r="DI150" s="229">
        <v>5138</v>
      </c>
      <c r="DJ150" s="229">
        <v>8532</v>
      </c>
      <c r="DK150" s="229">
        <v>0</v>
      </c>
      <c r="DL150" s="229">
        <v>0</v>
      </c>
      <c r="DM150" s="229">
        <v>-3394</v>
      </c>
      <c r="DN150" s="131">
        <v>23</v>
      </c>
      <c r="DO150" s="131">
        <v>6</v>
      </c>
      <c r="DP150" s="130">
        <v>0</v>
      </c>
      <c r="DQ150" s="130">
        <v>-3365</v>
      </c>
      <c r="DR150" s="130">
        <v>-2054</v>
      </c>
      <c r="DS150" s="130">
        <v>5146</v>
      </c>
      <c r="DT150" s="167"/>
      <c r="DU150" s="183">
        <v>-1852</v>
      </c>
      <c r="DV150" s="183">
        <v>-10025</v>
      </c>
      <c r="DW150" s="180">
        <v>-596</v>
      </c>
      <c r="DX150" s="130">
        <v>30698</v>
      </c>
      <c r="DY150" s="229">
        <v>26334</v>
      </c>
      <c r="DZ150" s="229">
        <v>816</v>
      </c>
      <c r="EA150" s="229">
        <v>3548</v>
      </c>
      <c r="EB150" s="212">
        <v>21</v>
      </c>
      <c r="EC150" s="208"/>
      <c r="ED150" s="183">
        <v>194.04411764705799</v>
      </c>
      <c r="EE150" s="3">
        <v>27430</v>
      </c>
      <c r="EF150" s="183">
        <v>27554</v>
      </c>
      <c r="EG150" s="130">
        <v>28152</v>
      </c>
      <c r="EH150" s="130"/>
      <c r="EI150" s="130"/>
      <c r="EJ150" s="130"/>
      <c r="EK150" s="183">
        <v>-3013</v>
      </c>
      <c r="EL150" s="183">
        <v>7</v>
      </c>
      <c r="EM150" s="183">
        <v>363</v>
      </c>
      <c r="EN150" s="226">
        <v>-9578</v>
      </c>
      <c r="EO150" s="226">
        <v>22</v>
      </c>
      <c r="EP150" s="226">
        <v>318</v>
      </c>
      <c r="EQ150" s="226">
        <v>-6074</v>
      </c>
      <c r="ER150" s="230">
        <v>284</v>
      </c>
      <c r="ES150" s="230">
        <v>48</v>
      </c>
      <c r="ET150" s="3">
        <v>10000</v>
      </c>
      <c r="EU150" s="211">
        <v>-500</v>
      </c>
      <c r="EV150" s="183">
        <v>14500</v>
      </c>
      <c r="EW150" s="183">
        <v>500</v>
      </c>
      <c r="EX150" s="130">
        <v>12000</v>
      </c>
      <c r="EY150" s="183">
        <v>-1200</v>
      </c>
      <c r="EZ150" s="3">
        <v>43854</v>
      </c>
      <c r="FA150" s="3">
        <v>30467</v>
      </c>
      <c r="FB150" s="3">
        <v>13387</v>
      </c>
      <c r="FC150" s="3">
        <v>70</v>
      </c>
      <c r="FD150" s="226">
        <v>49967</v>
      </c>
      <c r="FE150" s="183">
        <v>34617</v>
      </c>
      <c r="FF150" s="183">
        <v>15350</v>
      </c>
      <c r="FG150" s="183">
        <v>70</v>
      </c>
      <c r="FH150" s="230">
        <v>50743</v>
      </c>
      <c r="FI150" s="130">
        <v>36668</v>
      </c>
      <c r="FJ150" s="130">
        <v>14075</v>
      </c>
      <c r="FK150" s="130">
        <v>50</v>
      </c>
      <c r="FL150" s="29">
        <v>5294.3207126948773</v>
      </c>
      <c r="FM150" s="139">
        <v>6183.2061068702296</v>
      </c>
      <c r="FN150" s="139">
        <v>6725.5981129956199</v>
      </c>
      <c r="FO150" s="172">
        <f t="shared" si="6"/>
        <v>1254</v>
      </c>
      <c r="FP150" s="170">
        <f t="shared" si="7"/>
        <v>140.85139840503203</v>
      </c>
      <c r="FR150" s="175"/>
      <c r="FS150" s="195"/>
      <c r="FV150" s="175">
        <v>3680</v>
      </c>
      <c r="FW150" s="2">
        <f t="shared" si="8"/>
        <v>-3680</v>
      </c>
      <c r="FZ150" s="186"/>
      <c r="GA150" s="2"/>
      <c r="GB150" s="2"/>
    </row>
    <row r="151" spans="1:184" ht="13" x14ac:dyDescent="0.3">
      <c r="A151" s="77">
        <v>495</v>
      </c>
      <c r="B151" s="75" t="s">
        <v>148</v>
      </c>
      <c r="C151" s="179">
        <v>1584</v>
      </c>
      <c r="D151" s="138"/>
      <c r="E151" s="142">
        <v>1.2722371967654986</v>
      </c>
      <c r="F151" s="142">
        <v>23.243367229910543</v>
      </c>
      <c r="G151" s="183">
        <v>-1174.8737373737374</v>
      </c>
      <c r="H151" s="144"/>
      <c r="I151" s="186"/>
      <c r="K151" s="210">
        <v>62.00995266415827</v>
      </c>
      <c r="L151" s="143">
        <v>464.64646464646466</v>
      </c>
      <c r="M151" s="146">
        <v>20.10928961748634</v>
      </c>
      <c r="N151" s="143">
        <v>8433.7121212121219</v>
      </c>
      <c r="O151" s="138">
        <v>5592</v>
      </c>
      <c r="P151" s="143">
        <v>1921</v>
      </c>
      <c r="Q151" s="184">
        <v>12555</v>
      </c>
      <c r="R151" s="184">
        <v>-10634</v>
      </c>
      <c r="S151" s="139">
        <v>5379</v>
      </c>
      <c r="T151" s="138">
        <v>5779</v>
      </c>
      <c r="U151" s="151"/>
      <c r="W151" s="183">
        <v>-5</v>
      </c>
      <c r="X151" s="183">
        <v>-52</v>
      </c>
      <c r="Y151" s="184">
        <v>467</v>
      </c>
      <c r="Z151" s="130">
        <v>427</v>
      </c>
      <c r="AA151" s="130">
        <v>0</v>
      </c>
      <c r="AB151" s="130">
        <v>0</v>
      </c>
      <c r="AC151" s="184">
        <v>40</v>
      </c>
      <c r="AD151" s="183">
        <v>0</v>
      </c>
      <c r="AE151" s="183">
        <v>0</v>
      </c>
      <c r="AF151" s="183">
        <v>0</v>
      </c>
      <c r="AG151" s="183">
        <v>40</v>
      </c>
      <c r="AH151" s="183">
        <v>579</v>
      </c>
      <c r="AI151" s="183">
        <v>349</v>
      </c>
      <c r="AJ151" s="167"/>
      <c r="AK151" s="183">
        <v>1</v>
      </c>
      <c r="AL151" s="183">
        <v>-366</v>
      </c>
      <c r="AM151" s="180">
        <v>121</v>
      </c>
      <c r="AN151" s="139">
        <v>5379</v>
      </c>
      <c r="AO151" s="138">
        <v>3890</v>
      </c>
      <c r="AP151" s="184">
        <v>1086</v>
      </c>
      <c r="AQ151" s="138">
        <v>403</v>
      </c>
      <c r="AR151" s="109">
        <v>22</v>
      </c>
      <c r="AS151" s="144"/>
      <c r="AT151" s="139">
        <v>112</v>
      </c>
      <c r="AU151" s="228">
        <v>1566</v>
      </c>
      <c r="AV151" s="138"/>
      <c r="AW151" s="224">
        <v>-7.0767246937459705</v>
      </c>
      <c r="AX151" s="225">
        <v>17.084651025961609</v>
      </c>
      <c r="AY151" s="139">
        <v>-932.9501915708812</v>
      </c>
      <c r="AZ151" s="144"/>
      <c r="BA151"/>
      <c r="BC151" s="189">
        <v>41.186529860563013</v>
      </c>
      <c r="BD151" s="183">
        <v>340.35759897828865</v>
      </c>
      <c r="BE151" s="140">
        <v>12.529464803245959</v>
      </c>
      <c r="BF151" s="139">
        <v>9915.0702426564494</v>
      </c>
      <c r="BG151" s="184">
        <v>5671</v>
      </c>
      <c r="BH151" s="216">
        <v>2116</v>
      </c>
      <c r="BI151" s="216">
        <v>14973</v>
      </c>
      <c r="BJ151" s="216">
        <v>-12857</v>
      </c>
      <c r="BK151" s="216">
        <v>5647</v>
      </c>
      <c r="BL151" s="216">
        <v>5834</v>
      </c>
      <c r="BM151" s="151"/>
      <c r="BO151" s="216">
        <v>-3</v>
      </c>
      <c r="BP151" s="216">
        <v>4</v>
      </c>
      <c r="BQ151" s="216">
        <v>-1375</v>
      </c>
      <c r="BR151" s="216">
        <v>603</v>
      </c>
      <c r="BS151" s="216">
        <v>0</v>
      </c>
      <c r="BT151" s="216">
        <v>0</v>
      </c>
      <c r="BU151" s="216">
        <v>-1978</v>
      </c>
      <c r="BV151" s="183">
        <v>0</v>
      </c>
      <c r="BW151" s="183">
        <v>0</v>
      </c>
      <c r="BX151" s="183">
        <v>0</v>
      </c>
      <c r="BY151" s="183">
        <v>-1978</v>
      </c>
      <c r="BZ151" s="183">
        <v>-1399</v>
      </c>
      <c r="CA151" s="183">
        <v>152</v>
      </c>
      <c r="CB151" s="167"/>
      <c r="CC151" s="183">
        <v>113</v>
      </c>
      <c r="CD151" s="183">
        <v>-252</v>
      </c>
      <c r="CE151" s="180">
        <v>382</v>
      </c>
      <c r="CF151" s="139">
        <v>5647</v>
      </c>
      <c r="CG151" s="216">
        <v>4063</v>
      </c>
      <c r="CH151" s="216">
        <v>1170</v>
      </c>
      <c r="CI151" s="216">
        <v>414</v>
      </c>
      <c r="CJ151" s="212">
        <v>22</v>
      </c>
      <c r="CK151" s="144"/>
      <c r="CL151" s="130">
        <v>290</v>
      </c>
      <c r="CM151" s="228">
        <v>1558</v>
      </c>
      <c r="CN151" s="138"/>
      <c r="CO151" s="142">
        <v>8.6497175141242941</v>
      </c>
      <c r="CP151" s="142">
        <v>21.032021726773195</v>
      </c>
      <c r="CQ151" s="183">
        <v>-1410.1412066752246</v>
      </c>
      <c r="CR151" s="144"/>
      <c r="CS151"/>
      <c r="CU151" s="232">
        <v>53.312135665076845</v>
      </c>
      <c r="CV151" s="143">
        <v>567.39409499358146</v>
      </c>
      <c r="CW151" s="146">
        <v>21.776337990146452</v>
      </c>
      <c r="CX151" s="143">
        <v>9510.2695763799748</v>
      </c>
      <c r="CY151" s="131">
        <v>5433</v>
      </c>
      <c r="CZ151" s="229">
        <v>3872</v>
      </c>
      <c r="DA151" s="229">
        <v>14305</v>
      </c>
      <c r="DB151" s="216">
        <v>-10433</v>
      </c>
      <c r="DC151" s="229">
        <v>5816</v>
      </c>
      <c r="DD151" s="229">
        <v>6145</v>
      </c>
      <c r="DE151" s="151"/>
      <c r="DG151" s="229">
        <v>-1</v>
      </c>
      <c r="DH151" s="229">
        <v>3</v>
      </c>
      <c r="DI151" s="229">
        <v>1530</v>
      </c>
      <c r="DJ151" s="229">
        <v>571</v>
      </c>
      <c r="DK151" s="229">
        <v>0</v>
      </c>
      <c r="DL151" s="229">
        <v>0</v>
      </c>
      <c r="DM151" s="229">
        <v>959</v>
      </c>
      <c r="DN151" s="130">
        <v>0</v>
      </c>
      <c r="DO151" s="130">
        <v>0</v>
      </c>
      <c r="DP151" s="130">
        <v>0</v>
      </c>
      <c r="DQ151" s="130">
        <v>959</v>
      </c>
      <c r="DR151" s="130">
        <v>-506</v>
      </c>
      <c r="DS151" s="130">
        <v>-496</v>
      </c>
      <c r="DT151" s="167"/>
      <c r="DU151" s="183">
        <v>80</v>
      </c>
      <c r="DV151" s="183">
        <v>-176</v>
      </c>
      <c r="DW151" s="180">
        <v>-694</v>
      </c>
      <c r="DX151" s="130">
        <v>5816</v>
      </c>
      <c r="DY151" s="229">
        <v>4147</v>
      </c>
      <c r="DZ151" s="229">
        <v>1301</v>
      </c>
      <c r="EA151" s="229">
        <v>368</v>
      </c>
      <c r="EB151" s="212">
        <v>22</v>
      </c>
      <c r="EC151" s="208"/>
      <c r="ED151" s="183">
        <v>38.911764705882398</v>
      </c>
      <c r="EE151" s="3">
        <v>5545</v>
      </c>
      <c r="EF151" s="183">
        <v>5946</v>
      </c>
      <c r="EG151" s="130">
        <v>5550</v>
      </c>
      <c r="EH151" s="130"/>
      <c r="EI151" s="130"/>
      <c r="EJ151" s="130">
        <v>220</v>
      </c>
      <c r="EK151" s="183">
        <v>-377</v>
      </c>
      <c r="EL151" s="183">
        <v>25</v>
      </c>
      <c r="EM151" s="183">
        <v>124</v>
      </c>
      <c r="EN151" s="226">
        <v>-202</v>
      </c>
      <c r="EO151" s="226">
        <v>0</v>
      </c>
      <c r="EP151" s="226">
        <v>432</v>
      </c>
      <c r="EQ151" s="226">
        <v>-290</v>
      </c>
      <c r="ER151" s="230">
        <v>0</v>
      </c>
      <c r="ES151" s="230">
        <v>92</v>
      </c>
      <c r="ET151" s="3">
        <v>0</v>
      </c>
      <c r="EU151" s="211">
        <v>0</v>
      </c>
      <c r="EV151" s="183">
        <v>0</v>
      </c>
      <c r="EW151" s="183">
        <v>0</v>
      </c>
      <c r="EX151" s="130">
        <v>0</v>
      </c>
      <c r="EY151" s="183">
        <v>1330</v>
      </c>
      <c r="EZ151" s="3">
        <v>1033</v>
      </c>
      <c r="FA151" s="3">
        <v>311</v>
      </c>
      <c r="FB151" s="3">
        <v>722</v>
      </c>
      <c r="FC151" s="3">
        <v>39</v>
      </c>
      <c r="FD151" s="226">
        <v>781</v>
      </c>
      <c r="FE151" s="183">
        <v>135</v>
      </c>
      <c r="FF151" s="183">
        <v>646</v>
      </c>
      <c r="FG151" s="183">
        <v>34</v>
      </c>
      <c r="FH151" s="230">
        <v>1935</v>
      </c>
      <c r="FI151" s="130">
        <v>14</v>
      </c>
      <c r="FJ151" s="130">
        <v>1921</v>
      </c>
      <c r="FK151" s="130">
        <v>30</v>
      </c>
      <c r="FL151" s="29">
        <v>2118.6868686868684</v>
      </c>
      <c r="FM151" s="139">
        <v>2729.8850574712646</v>
      </c>
      <c r="FN151" s="139">
        <v>3875.4813863928111</v>
      </c>
      <c r="FO151" s="172">
        <f t="shared" si="6"/>
        <v>188.5</v>
      </c>
      <c r="FP151" s="170">
        <f t="shared" si="7"/>
        <v>120.98844672657252</v>
      </c>
      <c r="FR151" s="175"/>
      <c r="FS151" s="195"/>
      <c r="FV151" s="175">
        <v>562</v>
      </c>
      <c r="FW151" s="2">
        <f t="shared" si="8"/>
        <v>-562</v>
      </c>
      <c r="FZ151" s="186"/>
      <c r="GA151" s="2"/>
      <c r="GB151" s="2"/>
    </row>
    <row r="152" spans="1:184" ht="13" x14ac:dyDescent="0.3">
      <c r="A152" s="77">
        <v>498</v>
      </c>
      <c r="B152" s="75" t="s">
        <v>149</v>
      </c>
      <c r="C152" s="179">
        <v>2299</v>
      </c>
      <c r="D152" s="138"/>
      <c r="E152" s="142">
        <v>0.9250253292806484</v>
      </c>
      <c r="F152" s="142">
        <v>51.511806488769437</v>
      </c>
      <c r="G152" s="183">
        <v>-4076.9899956502823</v>
      </c>
      <c r="H152" s="144"/>
      <c r="I152" s="186"/>
      <c r="K152" s="210">
        <v>23.341189915006073</v>
      </c>
      <c r="L152" s="143">
        <v>195.73727707698998</v>
      </c>
      <c r="M152" s="146">
        <v>7.5295681672320525</v>
      </c>
      <c r="N152" s="143">
        <v>9488.4732492387993</v>
      </c>
      <c r="O152" s="138">
        <v>7879</v>
      </c>
      <c r="P152" s="143">
        <v>2975</v>
      </c>
      <c r="Q152" s="184">
        <v>19950</v>
      </c>
      <c r="R152" s="184">
        <v>-16975</v>
      </c>
      <c r="S152" s="139">
        <v>8650</v>
      </c>
      <c r="T152" s="138">
        <v>9228</v>
      </c>
      <c r="U152" s="151"/>
      <c r="W152" s="183">
        <v>-43</v>
      </c>
      <c r="X152" s="183">
        <v>9</v>
      </c>
      <c r="Y152" s="184">
        <v>869</v>
      </c>
      <c r="Z152" s="130">
        <v>1020</v>
      </c>
      <c r="AA152" s="130">
        <v>0</v>
      </c>
      <c r="AB152" s="131">
        <v>0</v>
      </c>
      <c r="AC152" s="184">
        <v>-151</v>
      </c>
      <c r="AD152" s="183">
        <v>30</v>
      </c>
      <c r="AE152" s="184">
        <v>0</v>
      </c>
      <c r="AF152" s="184">
        <v>0</v>
      </c>
      <c r="AG152" s="183">
        <v>-121</v>
      </c>
      <c r="AH152" s="183">
        <v>-157</v>
      </c>
      <c r="AI152" s="183">
        <v>820</v>
      </c>
      <c r="AJ152" s="167"/>
      <c r="AK152" s="183">
        <v>-129</v>
      </c>
      <c r="AL152" s="183">
        <v>-943</v>
      </c>
      <c r="AM152" s="180">
        <v>86</v>
      </c>
      <c r="AN152" s="139">
        <v>8650</v>
      </c>
      <c r="AO152" s="138">
        <v>6997</v>
      </c>
      <c r="AP152" s="184">
        <v>705</v>
      </c>
      <c r="AQ152" s="138">
        <v>948</v>
      </c>
      <c r="AR152" s="109">
        <v>21.5</v>
      </c>
      <c r="AS152" s="144"/>
      <c r="AT152" s="139">
        <v>79</v>
      </c>
      <c r="AU152" s="228">
        <v>2308</v>
      </c>
      <c r="AV152" s="138"/>
      <c r="AW152" s="224">
        <v>0.26270393848072326</v>
      </c>
      <c r="AX152" s="225">
        <v>53.423023710700825</v>
      </c>
      <c r="AY152" s="139">
        <v>-4172.4436741767768</v>
      </c>
      <c r="AZ152" s="144"/>
      <c r="BA152"/>
      <c r="BC152" s="189">
        <v>18.083394294074616</v>
      </c>
      <c r="BD152" s="183">
        <v>357.45233968804155</v>
      </c>
      <c r="BE152" s="140">
        <v>13.58254397834912</v>
      </c>
      <c r="BF152" s="139">
        <v>9605.7192374350088</v>
      </c>
      <c r="BG152" s="184">
        <v>8108</v>
      </c>
      <c r="BH152" s="216">
        <v>2938</v>
      </c>
      <c r="BI152" s="216">
        <v>20673</v>
      </c>
      <c r="BJ152" s="216">
        <v>-17712</v>
      </c>
      <c r="BK152" s="216">
        <v>8856</v>
      </c>
      <c r="BL152" s="216">
        <v>9167</v>
      </c>
      <c r="BM152" s="151"/>
      <c r="BO152" s="216">
        <v>-36</v>
      </c>
      <c r="BP152" s="216">
        <v>4</v>
      </c>
      <c r="BQ152" s="216">
        <v>279</v>
      </c>
      <c r="BR152" s="216">
        <v>1074</v>
      </c>
      <c r="BS152" s="216">
        <v>0</v>
      </c>
      <c r="BT152" s="216">
        <v>0</v>
      </c>
      <c r="BU152" s="216">
        <v>-795</v>
      </c>
      <c r="BV152" s="183">
        <v>30</v>
      </c>
      <c r="BW152" s="184">
        <v>0</v>
      </c>
      <c r="BX152" s="184">
        <v>0</v>
      </c>
      <c r="BY152" s="183">
        <v>-765</v>
      </c>
      <c r="BZ152" s="183">
        <v>-923</v>
      </c>
      <c r="CA152" s="183">
        <v>271</v>
      </c>
      <c r="CB152" s="167"/>
      <c r="CC152" s="183">
        <v>168</v>
      </c>
      <c r="CD152" s="183">
        <v>-906</v>
      </c>
      <c r="CE152" s="180">
        <v>-283</v>
      </c>
      <c r="CF152" s="139">
        <v>8856</v>
      </c>
      <c r="CG152" s="216">
        <v>7081</v>
      </c>
      <c r="CH152" s="216">
        <v>757</v>
      </c>
      <c r="CI152" s="216">
        <v>1018</v>
      </c>
      <c r="CJ152" s="212">
        <v>21.5</v>
      </c>
      <c r="CK152" s="144"/>
      <c r="CL152" s="130">
        <v>174</v>
      </c>
      <c r="CM152" s="228">
        <v>2297</v>
      </c>
      <c r="CN152" s="138"/>
      <c r="CO152" s="142">
        <v>2.4378585086042066</v>
      </c>
      <c r="CP152" s="142">
        <v>42.042937468052479</v>
      </c>
      <c r="CQ152" s="183">
        <v>-3502.3944275141489</v>
      </c>
      <c r="CR152" s="144"/>
      <c r="CS152"/>
      <c r="CU152" s="232">
        <v>28.50934376358105</v>
      </c>
      <c r="CV152" s="143">
        <v>380.49629952111451</v>
      </c>
      <c r="CW152" s="146">
        <v>13.892348560728127</v>
      </c>
      <c r="CX152" s="143">
        <v>9996.9525468001739</v>
      </c>
      <c r="CY152" s="131">
        <v>8611</v>
      </c>
      <c r="CZ152" s="229">
        <v>3344</v>
      </c>
      <c r="DA152" s="229">
        <v>20952</v>
      </c>
      <c r="DB152" s="216">
        <v>-17608</v>
      </c>
      <c r="DC152" s="229">
        <v>9933</v>
      </c>
      <c r="DD152" s="229">
        <v>10220</v>
      </c>
      <c r="DE152" s="151"/>
      <c r="DG152" s="229">
        <v>-26</v>
      </c>
      <c r="DH152" s="229">
        <v>5</v>
      </c>
      <c r="DI152" s="229">
        <v>2524</v>
      </c>
      <c r="DJ152" s="229">
        <v>1061</v>
      </c>
      <c r="DK152" s="229">
        <v>0</v>
      </c>
      <c r="DL152" s="229">
        <v>0</v>
      </c>
      <c r="DM152" s="229">
        <v>1463</v>
      </c>
      <c r="DN152" s="130">
        <v>29</v>
      </c>
      <c r="DO152" s="131">
        <v>0</v>
      </c>
      <c r="DP152" s="131">
        <v>0</v>
      </c>
      <c r="DQ152" s="130">
        <v>1492</v>
      </c>
      <c r="DR152" s="130">
        <v>570</v>
      </c>
      <c r="DS152" s="130">
        <v>2506</v>
      </c>
      <c r="DT152" s="167"/>
      <c r="DU152" s="183">
        <v>-209</v>
      </c>
      <c r="DV152" s="183">
        <v>-1020</v>
      </c>
      <c r="DW152" s="180">
        <v>1600</v>
      </c>
      <c r="DX152" s="130">
        <v>9933</v>
      </c>
      <c r="DY152" s="229">
        <v>7985</v>
      </c>
      <c r="DZ152" s="229">
        <v>1054</v>
      </c>
      <c r="EA152" s="229">
        <v>894</v>
      </c>
      <c r="EB152" s="212">
        <v>21.5</v>
      </c>
      <c r="EC152" s="208"/>
      <c r="ED152" s="183">
        <v>16.75</v>
      </c>
      <c r="EE152" s="3">
        <v>9885</v>
      </c>
      <c r="EF152" s="183">
        <v>10259</v>
      </c>
      <c r="EG152" s="130">
        <v>9827</v>
      </c>
      <c r="EH152" s="130"/>
      <c r="EI152" s="130"/>
      <c r="EJ152" s="130"/>
      <c r="EK152" s="183">
        <v>-875</v>
      </c>
      <c r="EL152" s="183">
        <v>31</v>
      </c>
      <c r="EM152" s="183">
        <v>110</v>
      </c>
      <c r="EN152" s="226">
        <v>-574</v>
      </c>
      <c r="EO152" s="226">
        <v>12</v>
      </c>
      <c r="EP152" s="226">
        <v>8</v>
      </c>
      <c r="EQ152" s="226">
        <v>-963</v>
      </c>
      <c r="ER152" s="230">
        <v>37</v>
      </c>
      <c r="ES152" s="230">
        <v>20</v>
      </c>
      <c r="ET152" s="3">
        <v>0</v>
      </c>
      <c r="EU152" s="211">
        <v>400</v>
      </c>
      <c r="EV152" s="183">
        <v>1500</v>
      </c>
      <c r="EW152" s="183">
        <v>100</v>
      </c>
      <c r="EX152" s="130">
        <v>0</v>
      </c>
      <c r="EY152" s="183">
        <v>-500</v>
      </c>
      <c r="EZ152" s="3">
        <v>7211</v>
      </c>
      <c r="FA152" s="3">
        <v>3405</v>
      </c>
      <c r="FB152" s="3">
        <v>3806</v>
      </c>
      <c r="FC152" s="3">
        <v>86</v>
      </c>
      <c r="FD152" s="226">
        <v>7905</v>
      </c>
      <c r="FE152" s="183">
        <v>3885</v>
      </c>
      <c r="FF152" s="183">
        <v>4020</v>
      </c>
      <c r="FG152" s="183">
        <v>60</v>
      </c>
      <c r="FH152" s="230">
        <v>6385</v>
      </c>
      <c r="FI152" s="130">
        <v>2965</v>
      </c>
      <c r="FJ152" s="130">
        <v>3420</v>
      </c>
      <c r="FK152" s="130">
        <v>75</v>
      </c>
      <c r="FL152" s="29">
        <v>3871.2483688560246</v>
      </c>
      <c r="FM152" s="139">
        <v>4202.7729636048525</v>
      </c>
      <c r="FN152" s="139">
        <v>3696.1253809316499</v>
      </c>
      <c r="FO152" s="172">
        <f t="shared" si="6"/>
        <v>371.39534883720933</v>
      </c>
      <c r="FP152" s="170">
        <f t="shared" si="7"/>
        <v>161.6871348877707</v>
      </c>
      <c r="FR152" s="175"/>
      <c r="FS152" s="195"/>
      <c r="FV152" s="175">
        <v>1194</v>
      </c>
      <c r="FW152" s="2">
        <f t="shared" si="8"/>
        <v>-1194</v>
      </c>
      <c r="FZ152" s="186"/>
      <c r="GA152" s="2"/>
      <c r="GB152" s="2"/>
    </row>
    <row r="153" spans="1:184" ht="13" x14ac:dyDescent="0.3">
      <c r="A153" s="77">
        <v>499</v>
      </c>
      <c r="B153" s="75" t="s">
        <v>150</v>
      </c>
      <c r="C153" s="179">
        <v>19444</v>
      </c>
      <c r="D153" s="138"/>
      <c r="E153" s="142">
        <v>0.53097255851493141</v>
      </c>
      <c r="F153" s="142">
        <v>82.985609033946147</v>
      </c>
      <c r="G153" s="183">
        <v>-5127.7514914626618</v>
      </c>
      <c r="H153" s="144"/>
      <c r="I153" s="186"/>
      <c r="K153" s="210">
        <v>31.145280548510129</v>
      </c>
      <c r="L153" s="143">
        <v>214.30775560584243</v>
      </c>
      <c r="M153" s="146">
        <v>9.6354450427621163</v>
      </c>
      <c r="N153" s="143">
        <v>8118.1855585270523</v>
      </c>
      <c r="O153" s="138">
        <v>62844</v>
      </c>
      <c r="P153" s="143">
        <v>23976</v>
      </c>
      <c r="Q153" s="184">
        <v>126041</v>
      </c>
      <c r="R153" s="184">
        <v>-102065</v>
      </c>
      <c r="S153" s="139">
        <v>75357</v>
      </c>
      <c r="T153" s="138">
        <v>31855</v>
      </c>
      <c r="U153" s="151"/>
      <c r="W153" s="183">
        <v>-412</v>
      </c>
      <c r="X153" s="183">
        <v>116</v>
      </c>
      <c r="Y153" s="184">
        <v>4851</v>
      </c>
      <c r="Z153" s="130">
        <v>7896</v>
      </c>
      <c r="AA153" s="131">
        <v>0</v>
      </c>
      <c r="AB153" s="131">
        <v>0</v>
      </c>
      <c r="AC153" s="184">
        <v>-3045</v>
      </c>
      <c r="AD153" s="183">
        <v>0</v>
      </c>
      <c r="AE153" s="183">
        <v>0</v>
      </c>
      <c r="AF153" s="183">
        <v>0</v>
      </c>
      <c r="AG153" s="183">
        <v>-3045</v>
      </c>
      <c r="AH153" s="183">
        <v>2821</v>
      </c>
      <c r="AI153" s="183">
        <v>4005</v>
      </c>
      <c r="AJ153" s="167"/>
      <c r="AK153" s="183">
        <v>-334</v>
      </c>
      <c r="AL153" s="183">
        <v>-9500</v>
      </c>
      <c r="AM153" s="180">
        <v>-17133</v>
      </c>
      <c r="AN153" s="139">
        <v>75357</v>
      </c>
      <c r="AO153" s="138">
        <v>68348</v>
      </c>
      <c r="AP153" s="184">
        <v>2430</v>
      </c>
      <c r="AQ153" s="138">
        <v>4579</v>
      </c>
      <c r="AR153" s="109">
        <v>20.75</v>
      </c>
      <c r="AS153" s="144"/>
      <c r="AT153" s="139">
        <v>139</v>
      </c>
      <c r="AU153" s="228">
        <v>19448</v>
      </c>
      <c r="AV153" s="138"/>
      <c r="AW153" s="224">
        <v>0.52289256509778803</v>
      </c>
      <c r="AX153" s="225">
        <v>90.146935566417696</v>
      </c>
      <c r="AY153" s="139">
        <v>-5879.9362402303577</v>
      </c>
      <c r="AZ153" s="144"/>
      <c r="BA153"/>
      <c r="BC153" s="189">
        <v>28.126435563094102</v>
      </c>
      <c r="BD153" s="183">
        <v>136.00370218017278</v>
      </c>
      <c r="BE153" s="140">
        <v>6.0183713290070004</v>
      </c>
      <c r="BF153" s="139">
        <v>8248.3031674208141</v>
      </c>
      <c r="BG153" s="184">
        <v>64444</v>
      </c>
      <c r="BH153" s="216">
        <v>24731</v>
      </c>
      <c r="BI153" s="216">
        <v>128750</v>
      </c>
      <c r="BJ153" s="216">
        <v>-103508</v>
      </c>
      <c r="BK153" s="216">
        <v>76947</v>
      </c>
      <c r="BL153" s="216">
        <v>33143</v>
      </c>
      <c r="BM153" s="151"/>
      <c r="BO153" s="216">
        <v>-451</v>
      </c>
      <c r="BP153" s="216">
        <v>354</v>
      </c>
      <c r="BQ153" s="216">
        <v>6485</v>
      </c>
      <c r="BR153" s="216">
        <v>8238</v>
      </c>
      <c r="BS153" s="216">
        <v>0</v>
      </c>
      <c r="BT153" s="216">
        <v>0</v>
      </c>
      <c r="BU153" s="216">
        <v>-1753</v>
      </c>
      <c r="BV153" s="183">
        <v>0</v>
      </c>
      <c r="BW153" s="183">
        <v>0</v>
      </c>
      <c r="BX153" s="183">
        <v>0</v>
      </c>
      <c r="BY153" s="183">
        <v>-1753</v>
      </c>
      <c r="BZ153" s="183">
        <v>1337</v>
      </c>
      <c r="CA153" s="183">
        <v>5369</v>
      </c>
      <c r="CB153" s="167"/>
      <c r="CC153" s="183">
        <v>60</v>
      </c>
      <c r="CD153" s="183">
        <v>-9500</v>
      </c>
      <c r="CE153" s="180">
        <v>-15282</v>
      </c>
      <c r="CF153" s="139">
        <v>76947</v>
      </c>
      <c r="CG153" s="216">
        <v>69716</v>
      </c>
      <c r="CH153" s="216">
        <v>2494</v>
      </c>
      <c r="CI153" s="216">
        <v>4737</v>
      </c>
      <c r="CJ153" s="212">
        <v>20.75</v>
      </c>
      <c r="CK153" s="144"/>
      <c r="CL153" s="130">
        <v>79</v>
      </c>
      <c r="CM153" s="228">
        <v>19453</v>
      </c>
      <c r="CN153" s="138"/>
      <c r="CO153" s="142">
        <v>1.1169215589541195</v>
      </c>
      <c r="CP153" s="142">
        <v>80.196652261911268</v>
      </c>
      <c r="CQ153" s="183">
        <v>-5598.313884747854</v>
      </c>
      <c r="CR153" s="144"/>
      <c r="CS153"/>
      <c r="CU153" s="232">
        <v>31.955160363976059</v>
      </c>
      <c r="CV153" s="143">
        <v>212.15236724412688</v>
      </c>
      <c r="CW153" s="146">
        <v>9.5876560968468763</v>
      </c>
      <c r="CX153" s="143">
        <v>8076.5948696859095</v>
      </c>
      <c r="CY153" s="131">
        <v>65888</v>
      </c>
      <c r="CZ153" s="229">
        <v>24878</v>
      </c>
      <c r="DA153" s="229">
        <v>131003</v>
      </c>
      <c r="DB153" s="216">
        <v>-106125</v>
      </c>
      <c r="DC153" s="229">
        <v>79413</v>
      </c>
      <c r="DD153" s="229">
        <v>42211</v>
      </c>
      <c r="DE153" s="151"/>
      <c r="DG153" s="229">
        <v>-403</v>
      </c>
      <c r="DH153" s="229">
        <v>349</v>
      </c>
      <c r="DI153" s="229">
        <v>15445</v>
      </c>
      <c r="DJ153" s="229">
        <v>9125</v>
      </c>
      <c r="DK153" s="229">
        <v>1339</v>
      </c>
      <c r="DL153" s="229">
        <v>0</v>
      </c>
      <c r="DM153" s="229">
        <v>7659</v>
      </c>
      <c r="DN153" s="130">
        <v>0</v>
      </c>
      <c r="DO153" s="130">
        <v>0</v>
      </c>
      <c r="DP153" s="130">
        <v>0</v>
      </c>
      <c r="DQ153" s="130">
        <v>7659</v>
      </c>
      <c r="DR153" s="130">
        <v>8996</v>
      </c>
      <c r="DS153" s="130">
        <v>14535</v>
      </c>
      <c r="DT153" s="167"/>
      <c r="DU153" s="183">
        <v>283</v>
      </c>
      <c r="DV153" s="183">
        <v>-13786</v>
      </c>
      <c r="DW153" s="180">
        <v>5239</v>
      </c>
      <c r="DX153" s="130">
        <v>79413</v>
      </c>
      <c r="DY153" s="229">
        <v>72079</v>
      </c>
      <c r="DZ153" s="229">
        <v>2995</v>
      </c>
      <c r="EA153" s="229">
        <v>4339</v>
      </c>
      <c r="EB153" s="212">
        <v>20.75</v>
      </c>
      <c r="EC153" s="208"/>
      <c r="ED153" s="183">
        <v>90.286764705882405</v>
      </c>
      <c r="EE153" s="3">
        <v>47995</v>
      </c>
      <c r="EF153" s="183">
        <v>49007</v>
      </c>
      <c r="EG153" s="130">
        <v>49611</v>
      </c>
      <c r="EH153" s="130"/>
      <c r="EI153" s="130"/>
      <c r="EJ153" s="130"/>
      <c r="EK153" s="183">
        <v>-22269</v>
      </c>
      <c r="EL153" s="183">
        <v>71</v>
      </c>
      <c r="EM153" s="183">
        <v>1060</v>
      </c>
      <c r="EN153" s="226">
        <v>-22217</v>
      </c>
      <c r="EO153" s="226">
        <v>290</v>
      </c>
      <c r="EP153" s="226">
        <v>1276</v>
      </c>
      <c r="EQ153" s="226">
        <v>-12175</v>
      </c>
      <c r="ER153" s="230">
        <v>26</v>
      </c>
      <c r="ES153" s="230">
        <v>2853</v>
      </c>
      <c r="ET153" s="3">
        <v>0</v>
      </c>
      <c r="EU153" s="211">
        <v>24500</v>
      </c>
      <c r="EV153" s="183">
        <v>30000</v>
      </c>
      <c r="EW153" s="183">
        <v>-6000</v>
      </c>
      <c r="EX153" s="130">
        <v>20000</v>
      </c>
      <c r="EY153" s="183">
        <v>-12000</v>
      </c>
      <c r="EZ153" s="3">
        <v>82000</v>
      </c>
      <c r="FA153" s="3">
        <v>28000</v>
      </c>
      <c r="FB153" s="3">
        <v>54000</v>
      </c>
      <c r="FC153" s="3">
        <v>1062</v>
      </c>
      <c r="FD153" s="226">
        <v>96500</v>
      </c>
      <c r="FE153" s="183">
        <v>44214</v>
      </c>
      <c r="FF153" s="183">
        <v>52286</v>
      </c>
      <c r="FG153" s="183">
        <v>853</v>
      </c>
      <c r="FH153" s="230">
        <v>90714</v>
      </c>
      <c r="FI153" s="130">
        <v>49571</v>
      </c>
      <c r="FJ153" s="130">
        <v>41143</v>
      </c>
      <c r="FK153" s="130">
        <v>745</v>
      </c>
      <c r="FL153" s="29">
        <v>4897.8090927792637</v>
      </c>
      <c r="FM153" s="139">
        <v>5836.8469765528589</v>
      </c>
      <c r="FN153" s="139">
        <v>5755.2048527219458</v>
      </c>
      <c r="FO153" s="172">
        <f t="shared" si="6"/>
        <v>3473.6867469879517</v>
      </c>
      <c r="FP153" s="170">
        <f t="shared" si="7"/>
        <v>178.56817699007615</v>
      </c>
      <c r="FR153" s="175"/>
      <c r="FS153" s="195"/>
      <c r="FV153" s="175">
        <v>1610</v>
      </c>
      <c r="FW153" s="2">
        <f t="shared" si="8"/>
        <v>-1610</v>
      </c>
      <c r="FZ153" s="186"/>
      <c r="GA153" s="2"/>
      <c r="GB153" s="2"/>
    </row>
    <row r="154" spans="1:184" ht="13" x14ac:dyDescent="0.3">
      <c r="A154" s="77">
        <v>500</v>
      </c>
      <c r="B154" s="75" t="s">
        <v>151</v>
      </c>
      <c r="C154" s="179">
        <v>10170</v>
      </c>
      <c r="D154" s="138"/>
      <c r="E154" s="142">
        <v>1.6992235390273804</v>
      </c>
      <c r="F154" s="142">
        <v>52.238212197737575</v>
      </c>
      <c r="G154" s="183">
        <v>-2558.9970501474927</v>
      </c>
      <c r="H154" s="144"/>
      <c r="I154" s="186"/>
      <c r="K154" s="210">
        <v>49.551140054296233</v>
      </c>
      <c r="L154" s="143">
        <v>64.306784660766965</v>
      </c>
      <c r="M154" s="146">
        <v>4.0010391874224798</v>
      </c>
      <c r="N154" s="143">
        <v>5866.4700098328422</v>
      </c>
      <c r="O154" s="138">
        <v>22820</v>
      </c>
      <c r="P154" s="143">
        <v>8417</v>
      </c>
      <c r="Q154" s="184">
        <v>54392</v>
      </c>
      <c r="R154" s="184">
        <v>-45975</v>
      </c>
      <c r="S154" s="139">
        <v>39404</v>
      </c>
      <c r="T154" s="138">
        <v>10327</v>
      </c>
      <c r="U154" s="151"/>
      <c r="W154" s="183">
        <v>-28</v>
      </c>
      <c r="X154" s="183">
        <v>359</v>
      </c>
      <c r="Y154" s="184">
        <v>4087</v>
      </c>
      <c r="Z154" s="130">
        <v>3859</v>
      </c>
      <c r="AA154" s="130">
        <v>0</v>
      </c>
      <c r="AB154" s="131">
        <v>0</v>
      </c>
      <c r="AC154" s="184">
        <v>228</v>
      </c>
      <c r="AD154" s="184">
        <v>0</v>
      </c>
      <c r="AE154" s="183">
        <v>0</v>
      </c>
      <c r="AF154" s="183">
        <v>0</v>
      </c>
      <c r="AG154" s="183">
        <v>228</v>
      </c>
      <c r="AH154" s="183">
        <v>9267</v>
      </c>
      <c r="AI154" s="183">
        <v>3258</v>
      </c>
      <c r="AJ154" s="167"/>
      <c r="AK154" s="183">
        <v>-139</v>
      </c>
      <c r="AL154" s="183">
        <v>-2376</v>
      </c>
      <c r="AM154" s="180">
        <v>2056</v>
      </c>
      <c r="AN154" s="139">
        <v>39404</v>
      </c>
      <c r="AO154" s="138">
        <v>35053</v>
      </c>
      <c r="AP154" s="184">
        <v>2139</v>
      </c>
      <c r="AQ154" s="138">
        <v>2212</v>
      </c>
      <c r="AR154" s="109">
        <v>19.5</v>
      </c>
      <c r="AS154" s="144"/>
      <c r="AT154" s="139">
        <v>72</v>
      </c>
      <c r="AU154" s="228">
        <v>10164</v>
      </c>
      <c r="AV154" s="138"/>
      <c r="AW154" s="224">
        <v>0.86807409204885544</v>
      </c>
      <c r="AX154" s="225">
        <v>52.224502603592448</v>
      </c>
      <c r="AY154" s="139">
        <v>-2726.0920897284532</v>
      </c>
      <c r="AZ154" s="144"/>
      <c r="BA154"/>
      <c r="BC154" s="189">
        <v>48.022674897811569</v>
      </c>
      <c r="BD154" s="183">
        <v>32.270759543486811</v>
      </c>
      <c r="BE154" s="140">
        <v>1.9091358497185411</v>
      </c>
      <c r="BF154" s="139">
        <v>6169.7166469893746</v>
      </c>
      <c r="BG154" s="184">
        <v>24112</v>
      </c>
      <c r="BH154" s="216">
        <v>8367</v>
      </c>
      <c r="BI154" s="216">
        <v>56709</v>
      </c>
      <c r="BJ154" s="216">
        <v>-48117</v>
      </c>
      <c r="BK154" s="216">
        <v>40052</v>
      </c>
      <c r="BL154" s="216">
        <v>10538</v>
      </c>
      <c r="BM154" s="151"/>
      <c r="BO154" s="216">
        <v>-15</v>
      </c>
      <c r="BP154" s="216">
        <v>156</v>
      </c>
      <c r="BQ154" s="216">
        <v>2614</v>
      </c>
      <c r="BR154" s="216">
        <v>3815</v>
      </c>
      <c r="BS154" s="216">
        <v>0</v>
      </c>
      <c r="BT154" s="216">
        <v>0</v>
      </c>
      <c r="BU154" s="216">
        <v>-1201</v>
      </c>
      <c r="BV154" s="184">
        <v>0</v>
      </c>
      <c r="BW154" s="183">
        <v>0</v>
      </c>
      <c r="BX154" s="183">
        <v>0</v>
      </c>
      <c r="BY154" s="183">
        <v>-1201</v>
      </c>
      <c r="BZ154" s="183">
        <v>8065</v>
      </c>
      <c r="CA154" s="183">
        <v>1614</v>
      </c>
      <c r="CB154" s="167"/>
      <c r="CC154" s="183">
        <v>769</v>
      </c>
      <c r="CD154" s="183">
        <v>-1398</v>
      </c>
      <c r="CE154" s="180">
        <v>-1811</v>
      </c>
      <c r="CF154" s="139">
        <v>40052</v>
      </c>
      <c r="CG154" s="216">
        <v>35724</v>
      </c>
      <c r="CH154" s="216">
        <v>2015</v>
      </c>
      <c r="CI154" s="216">
        <v>2313</v>
      </c>
      <c r="CJ154" s="212">
        <v>19.5</v>
      </c>
      <c r="CK154" s="144"/>
      <c r="CL154" s="130">
        <v>105</v>
      </c>
      <c r="CM154" s="228">
        <v>10267</v>
      </c>
      <c r="CN154" s="138"/>
      <c r="CO154" s="142">
        <v>9.0186915887850461</v>
      </c>
      <c r="CP154" s="142">
        <v>41.548467868757349</v>
      </c>
      <c r="CQ154" s="183">
        <v>-2211.3567741307102</v>
      </c>
      <c r="CR154" s="144"/>
      <c r="CS154"/>
      <c r="CU154" s="232">
        <v>55.490774066413692</v>
      </c>
      <c r="CV154" s="143">
        <v>117.46371871043148</v>
      </c>
      <c r="CW154" s="146">
        <v>7.0898899930742347</v>
      </c>
      <c r="CX154" s="143">
        <v>6047.2387260153891</v>
      </c>
      <c r="CY154" s="131">
        <v>24199</v>
      </c>
      <c r="CZ154" s="229">
        <v>8449</v>
      </c>
      <c r="DA154" s="229">
        <v>56417</v>
      </c>
      <c r="DB154" s="216">
        <v>-47968</v>
      </c>
      <c r="DC154" s="229">
        <v>42260</v>
      </c>
      <c r="DD154" s="229">
        <v>15101</v>
      </c>
      <c r="DE154" s="151"/>
      <c r="DG154" s="229">
        <v>6</v>
      </c>
      <c r="DH154" s="229">
        <v>194</v>
      </c>
      <c r="DI154" s="229">
        <v>9593</v>
      </c>
      <c r="DJ154" s="229">
        <v>4069</v>
      </c>
      <c r="DK154" s="229">
        <v>0</v>
      </c>
      <c r="DL154" s="229">
        <v>0</v>
      </c>
      <c r="DM154" s="229">
        <v>5524</v>
      </c>
      <c r="DN154" s="131">
        <v>0</v>
      </c>
      <c r="DO154" s="130">
        <v>-4000</v>
      </c>
      <c r="DP154" s="130">
        <v>0</v>
      </c>
      <c r="DQ154" s="130">
        <v>1524</v>
      </c>
      <c r="DR154" s="130">
        <v>9589</v>
      </c>
      <c r="DS154" s="130">
        <v>8692</v>
      </c>
      <c r="DT154" s="167"/>
      <c r="DU154" s="183">
        <v>-550</v>
      </c>
      <c r="DV154" s="183">
        <v>-1013</v>
      </c>
      <c r="DW154" s="180">
        <v>4909</v>
      </c>
      <c r="DX154" s="130">
        <v>42260</v>
      </c>
      <c r="DY154" s="229">
        <v>38101</v>
      </c>
      <c r="DZ154" s="229">
        <v>2023</v>
      </c>
      <c r="EA154" s="229">
        <v>2136</v>
      </c>
      <c r="EB154" s="212">
        <v>19.5</v>
      </c>
      <c r="EC154" s="208"/>
      <c r="ED154" s="183">
        <v>51</v>
      </c>
      <c r="EE154" s="3">
        <v>23242</v>
      </c>
      <c r="EF154" s="183">
        <v>24118</v>
      </c>
      <c r="EG154" s="130">
        <v>23800</v>
      </c>
      <c r="EH154" s="130"/>
      <c r="EI154" s="130"/>
      <c r="EJ154" s="130"/>
      <c r="EK154" s="183">
        <v>-2403</v>
      </c>
      <c r="EL154" s="183">
        <v>143</v>
      </c>
      <c r="EM154" s="183">
        <v>1058</v>
      </c>
      <c r="EN154" s="226">
        <v>-4756</v>
      </c>
      <c r="EO154" s="226">
        <v>237</v>
      </c>
      <c r="EP154" s="226">
        <v>1094</v>
      </c>
      <c r="EQ154" s="226">
        <v>-4910</v>
      </c>
      <c r="ER154" s="230">
        <v>84</v>
      </c>
      <c r="ES154" s="230">
        <v>1043</v>
      </c>
      <c r="ET154" s="3">
        <v>0</v>
      </c>
      <c r="EU154" s="211">
        <v>200</v>
      </c>
      <c r="EV154" s="183">
        <v>0</v>
      </c>
      <c r="EW154" s="183">
        <v>3300</v>
      </c>
      <c r="EX154" s="130">
        <v>0</v>
      </c>
      <c r="EY154" s="183">
        <v>-3000</v>
      </c>
      <c r="EZ154" s="3">
        <v>19688</v>
      </c>
      <c r="FA154" s="3">
        <v>6090</v>
      </c>
      <c r="FB154" s="3">
        <v>13598</v>
      </c>
      <c r="FC154" s="3">
        <v>687</v>
      </c>
      <c r="FD154" s="226">
        <v>21590</v>
      </c>
      <c r="FE154" s="183">
        <v>5077</v>
      </c>
      <c r="FF154" s="183">
        <v>16513</v>
      </c>
      <c r="FG154" s="183">
        <v>571</v>
      </c>
      <c r="FH154" s="230">
        <v>17577</v>
      </c>
      <c r="FI154" s="130">
        <v>4064</v>
      </c>
      <c r="FJ154" s="130">
        <v>13513</v>
      </c>
      <c r="FK154" s="130">
        <v>480</v>
      </c>
      <c r="FL154" s="29">
        <v>4789.8721730580137</v>
      </c>
      <c r="FM154" s="139">
        <v>5065.1318378591113</v>
      </c>
      <c r="FN154" s="139">
        <v>4588.5847862082401</v>
      </c>
      <c r="FO154" s="172">
        <f t="shared" si="6"/>
        <v>1953.8974358974358</v>
      </c>
      <c r="FP154" s="170">
        <f t="shared" si="7"/>
        <v>190.30850646707273</v>
      </c>
      <c r="FR154" s="175"/>
      <c r="FS154" s="195"/>
      <c r="FV154" s="175">
        <v>3083</v>
      </c>
      <c r="FW154" s="2">
        <f t="shared" si="8"/>
        <v>-3083</v>
      </c>
      <c r="FZ154" s="186"/>
      <c r="GA154" s="2"/>
      <c r="GB154" s="2"/>
    </row>
    <row r="155" spans="1:184" ht="13" x14ac:dyDescent="0.3">
      <c r="A155" s="77">
        <v>503</v>
      </c>
      <c r="B155" s="75" t="s">
        <v>152</v>
      </c>
      <c r="C155" s="179">
        <v>7766</v>
      </c>
      <c r="D155" s="138"/>
      <c r="E155" s="142">
        <v>-1.0723114956736712</v>
      </c>
      <c r="F155" s="142">
        <v>53.09428156252671</v>
      </c>
      <c r="G155" s="183">
        <v>-2601.3391707442697</v>
      </c>
      <c r="H155" s="144"/>
      <c r="I155" s="186"/>
      <c r="K155" s="210">
        <v>54.630092584610608</v>
      </c>
      <c r="L155" s="143">
        <v>489.95621941797577</v>
      </c>
      <c r="M155" s="146">
        <v>26.385458621475795</v>
      </c>
      <c r="N155" s="143">
        <v>6777.7491630182849</v>
      </c>
      <c r="O155" s="138">
        <v>12932</v>
      </c>
      <c r="P155" s="143">
        <v>4109</v>
      </c>
      <c r="Q155" s="184">
        <v>48558</v>
      </c>
      <c r="R155" s="184">
        <v>-44449</v>
      </c>
      <c r="S155" s="139">
        <v>27296</v>
      </c>
      <c r="T155" s="138">
        <v>15391</v>
      </c>
      <c r="U155" s="151"/>
      <c r="W155" s="183">
        <v>-47</v>
      </c>
      <c r="X155" s="183">
        <v>16</v>
      </c>
      <c r="Y155" s="184">
        <v>-1793</v>
      </c>
      <c r="Z155" s="130">
        <v>1452</v>
      </c>
      <c r="AA155" s="130">
        <v>0</v>
      </c>
      <c r="AB155" s="130">
        <v>0</v>
      </c>
      <c r="AC155" s="184">
        <v>-3245</v>
      </c>
      <c r="AD155" s="183">
        <v>28</v>
      </c>
      <c r="AE155" s="183">
        <v>0</v>
      </c>
      <c r="AF155" s="183">
        <v>0</v>
      </c>
      <c r="AG155" s="183">
        <v>-3217</v>
      </c>
      <c r="AH155" s="183">
        <v>8801</v>
      </c>
      <c r="AI155" s="183">
        <v>-1936</v>
      </c>
      <c r="AJ155" s="167"/>
      <c r="AK155" s="183">
        <v>87</v>
      </c>
      <c r="AL155" s="183">
        <v>-1560</v>
      </c>
      <c r="AM155" s="180">
        <v>-4200</v>
      </c>
      <c r="AN155" s="139">
        <v>27296</v>
      </c>
      <c r="AO155" s="138">
        <v>24650</v>
      </c>
      <c r="AP155" s="184">
        <v>1053</v>
      </c>
      <c r="AQ155" s="138">
        <v>1593</v>
      </c>
      <c r="AR155" s="109">
        <v>21</v>
      </c>
      <c r="AS155" s="144"/>
      <c r="AT155" s="139">
        <v>287</v>
      </c>
      <c r="AU155" s="228">
        <v>7654</v>
      </c>
      <c r="AV155" s="138"/>
      <c r="AW155" s="224">
        <v>-0.9991046342894192</v>
      </c>
      <c r="AX155" s="225">
        <v>74.605280047922633</v>
      </c>
      <c r="AY155" s="139">
        <v>-4138.8816305199898</v>
      </c>
      <c r="AZ155" s="144"/>
      <c r="BA155"/>
      <c r="BC155" s="189">
        <v>40.916359364292006</v>
      </c>
      <c r="BD155" s="183">
        <v>299.05931539064539</v>
      </c>
      <c r="BE155" s="140">
        <v>13.831617111449573</v>
      </c>
      <c r="BF155" s="139">
        <v>7891.8212699242222</v>
      </c>
      <c r="BG155" s="184">
        <v>13170</v>
      </c>
      <c r="BH155" s="216">
        <v>4613</v>
      </c>
      <c r="BI155" s="216">
        <v>50812</v>
      </c>
      <c r="BJ155" s="216">
        <v>-46199</v>
      </c>
      <c r="BK155" s="216">
        <v>27022</v>
      </c>
      <c r="BL155" s="216">
        <v>15107</v>
      </c>
      <c r="BM155" s="151"/>
      <c r="BO155" s="216">
        <v>-73</v>
      </c>
      <c r="BP155" s="216">
        <v>15</v>
      </c>
      <c r="BQ155" s="216">
        <v>-4128</v>
      </c>
      <c r="BR155" s="216">
        <v>2480</v>
      </c>
      <c r="BS155" s="216">
        <v>0</v>
      </c>
      <c r="BT155" s="216">
        <v>0</v>
      </c>
      <c r="BU155" s="216">
        <v>-6608</v>
      </c>
      <c r="BV155" s="183">
        <v>3</v>
      </c>
      <c r="BW155" s="183">
        <v>0</v>
      </c>
      <c r="BX155" s="183">
        <v>0</v>
      </c>
      <c r="BY155" s="183">
        <v>-6605</v>
      </c>
      <c r="BZ155" s="183">
        <v>2196</v>
      </c>
      <c r="CA155" s="183">
        <v>-4251</v>
      </c>
      <c r="CB155" s="167"/>
      <c r="CC155" s="183">
        <v>-66</v>
      </c>
      <c r="CD155" s="183">
        <v>-1960</v>
      </c>
      <c r="CE155" s="180">
        <v>-11583</v>
      </c>
      <c r="CF155" s="139">
        <v>27022</v>
      </c>
      <c r="CG155" s="216">
        <v>24456</v>
      </c>
      <c r="CH155" s="216">
        <v>1017</v>
      </c>
      <c r="CI155" s="216">
        <v>1549</v>
      </c>
      <c r="CJ155" s="212">
        <v>21</v>
      </c>
      <c r="CK155" s="144"/>
      <c r="CL155" s="130">
        <v>287</v>
      </c>
      <c r="CM155" s="228">
        <v>7645</v>
      </c>
      <c r="CN155" s="138"/>
      <c r="CO155" s="142">
        <v>1.2854115153655952</v>
      </c>
      <c r="CP155" s="142">
        <v>75.820425806206984</v>
      </c>
      <c r="CQ155" s="183">
        <v>-4600.523217789405</v>
      </c>
      <c r="CR155" s="144"/>
      <c r="CS155"/>
      <c r="CU155" s="232">
        <v>39.715877599836645</v>
      </c>
      <c r="CV155" s="143">
        <v>460.56245912361021</v>
      </c>
      <c r="CW155" s="146">
        <v>21.678474436179005</v>
      </c>
      <c r="CX155" s="143">
        <v>7754.4800523217791</v>
      </c>
      <c r="CY155" s="131">
        <v>12876</v>
      </c>
      <c r="CZ155" s="229">
        <v>4178</v>
      </c>
      <c r="DA155" s="229">
        <v>49138</v>
      </c>
      <c r="DB155" s="216">
        <v>-44960</v>
      </c>
      <c r="DC155" s="229">
        <v>28669</v>
      </c>
      <c r="DD155" s="229">
        <v>19900</v>
      </c>
      <c r="DE155" s="151"/>
      <c r="DG155" s="229">
        <v>-92</v>
      </c>
      <c r="DH155" s="229">
        <v>20</v>
      </c>
      <c r="DI155" s="229">
        <v>3537</v>
      </c>
      <c r="DJ155" s="229">
        <v>1384</v>
      </c>
      <c r="DK155" s="229">
        <v>0</v>
      </c>
      <c r="DL155" s="229">
        <v>0</v>
      </c>
      <c r="DM155" s="229">
        <v>2153</v>
      </c>
      <c r="DN155" s="130">
        <v>3</v>
      </c>
      <c r="DO155" s="130">
        <v>0</v>
      </c>
      <c r="DP155" s="130">
        <v>0</v>
      </c>
      <c r="DQ155" s="130">
        <v>2156</v>
      </c>
      <c r="DR155" s="130">
        <v>4353</v>
      </c>
      <c r="DS155" s="130">
        <v>3387</v>
      </c>
      <c r="DT155" s="167"/>
      <c r="DU155" s="183">
        <v>-398</v>
      </c>
      <c r="DV155" s="183">
        <v>-2729</v>
      </c>
      <c r="DW155" s="180">
        <v>-3714</v>
      </c>
      <c r="DX155" s="130">
        <v>28669</v>
      </c>
      <c r="DY155" s="229">
        <v>25968</v>
      </c>
      <c r="DZ155" s="229">
        <v>1103</v>
      </c>
      <c r="EA155" s="229">
        <v>1598</v>
      </c>
      <c r="EB155" s="212">
        <v>21.25</v>
      </c>
      <c r="EC155" s="208"/>
      <c r="ED155" s="183">
        <v>238.367647058823</v>
      </c>
      <c r="EE155" s="3">
        <v>31779</v>
      </c>
      <c r="EF155" s="183">
        <v>33602</v>
      </c>
      <c r="EG155" s="130">
        <v>32063</v>
      </c>
      <c r="EH155" s="130"/>
      <c r="EI155" s="130"/>
      <c r="EJ155" s="130">
        <v>1050</v>
      </c>
      <c r="EK155" s="183">
        <v>-2456</v>
      </c>
      <c r="EL155" s="183">
        <v>46</v>
      </c>
      <c r="EM155" s="183">
        <v>146</v>
      </c>
      <c r="EN155" s="226">
        <v>-7544</v>
      </c>
      <c r="EO155" s="226">
        <v>0</v>
      </c>
      <c r="EP155" s="226">
        <v>212</v>
      </c>
      <c r="EQ155" s="226">
        <v>-7311</v>
      </c>
      <c r="ER155" s="230">
        <v>-2</v>
      </c>
      <c r="ES155" s="230">
        <v>212</v>
      </c>
      <c r="ET155" s="3">
        <v>4000</v>
      </c>
      <c r="EU155" s="211">
        <v>1000</v>
      </c>
      <c r="EV155" s="183">
        <v>10000</v>
      </c>
      <c r="EW155" s="183">
        <v>2000</v>
      </c>
      <c r="EX155" s="130">
        <v>10000</v>
      </c>
      <c r="EY155" s="183">
        <v>-2000</v>
      </c>
      <c r="EZ155" s="3">
        <v>19386</v>
      </c>
      <c r="FA155" s="3">
        <v>11426</v>
      </c>
      <c r="FB155" s="3">
        <v>7960</v>
      </c>
      <c r="FC155" s="3">
        <v>3040</v>
      </c>
      <c r="FD155" s="226">
        <v>29426</v>
      </c>
      <c r="FE155" s="183">
        <v>18953</v>
      </c>
      <c r="FF155" s="183">
        <v>10473</v>
      </c>
      <c r="FG155" s="183">
        <v>3040</v>
      </c>
      <c r="FH155" s="230">
        <v>34697</v>
      </c>
      <c r="FI155" s="130">
        <v>25911</v>
      </c>
      <c r="FJ155" s="130">
        <v>8786</v>
      </c>
      <c r="FK155" s="130">
        <v>3040</v>
      </c>
      <c r="FL155" s="29">
        <v>3224.1823332474892</v>
      </c>
      <c r="FM155" s="139">
        <v>4566.7624771361379</v>
      </c>
      <c r="FN155" s="139">
        <v>5484.4996729888817</v>
      </c>
      <c r="FO155" s="172">
        <f t="shared" si="6"/>
        <v>1222.0235294117647</v>
      </c>
      <c r="FP155" s="170">
        <f t="shared" si="7"/>
        <v>159.84611241488091</v>
      </c>
      <c r="FR155" s="175"/>
      <c r="FS155" s="195"/>
      <c r="FV155" s="175">
        <v>1263</v>
      </c>
      <c r="FW155" s="2">
        <f t="shared" si="8"/>
        <v>-1263</v>
      </c>
      <c r="FZ155" s="186"/>
      <c r="GA155" s="2"/>
      <c r="GB155" s="2"/>
    </row>
    <row r="156" spans="1:184" ht="13" x14ac:dyDescent="0.3">
      <c r="A156" s="77">
        <v>504</v>
      </c>
      <c r="B156" s="75" t="s">
        <v>153</v>
      </c>
      <c r="C156" s="179">
        <v>1922</v>
      </c>
      <c r="D156" s="138"/>
      <c r="E156" s="142">
        <v>11.081967213114755</v>
      </c>
      <c r="F156" s="142">
        <v>28.681235870384327</v>
      </c>
      <c r="G156" s="183">
        <v>-1228.9281997918836</v>
      </c>
      <c r="H156" s="144"/>
      <c r="I156" s="186"/>
      <c r="K156" s="210">
        <v>65.602749815860548</v>
      </c>
      <c r="L156" s="143">
        <v>432.36212278876167</v>
      </c>
      <c r="M156" s="146">
        <v>22.879610771667799</v>
      </c>
      <c r="N156" s="143">
        <v>6897.5026014568166</v>
      </c>
      <c r="O156" s="138">
        <v>2431</v>
      </c>
      <c r="P156" s="143">
        <v>2416</v>
      </c>
      <c r="Q156" s="184">
        <v>12880</v>
      </c>
      <c r="R156" s="184">
        <v>-10464</v>
      </c>
      <c r="S156" s="139">
        <v>6417</v>
      </c>
      <c r="T156" s="138">
        <v>4437</v>
      </c>
      <c r="U156" s="151"/>
      <c r="W156" s="183">
        <v>-19</v>
      </c>
      <c r="X156" s="183">
        <v>286</v>
      </c>
      <c r="Y156" s="184">
        <v>657</v>
      </c>
      <c r="Z156" s="130">
        <v>495</v>
      </c>
      <c r="AA156" s="130">
        <v>52</v>
      </c>
      <c r="AB156" s="130">
        <v>90</v>
      </c>
      <c r="AC156" s="184">
        <v>124</v>
      </c>
      <c r="AD156" s="184">
        <v>0</v>
      </c>
      <c r="AE156" s="183">
        <v>0</v>
      </c>
      <c r="AF156" s="183">
        <v>0</v>
      </c>
      <c r="AG156" s="183">
        <v>124</v>
      </c>
      <c r="AH156" s="183">
        <v>1395</v>
      </c>
      <c r="AI156" s="183">
        <v>690</v>
      </c>
      <c r="AJ156" s="167"/>
      <c r="AK156" s="183">
        <v>-444</v>
      </c>
      <c r="AL156" s="183">
        <v>-42</v>
      </c>
      <c r="AM156" s="180">
        <v>758</v>
      </c>
      <c r="AN156" s="139">
        <v>6417</v>
      </c>
      <c r="AO156" s="138">
        <v>5582</v>
      </c>
      <c r="AP156" s="184">
        <v>441</v>
      </c>
      <c r="AQ156" s="138">
        <v>394</v>
      </c>
      <c r="AR156" s="109">
        <v>21.5</v>
      </c>
      <c r="AS156" s="144"/>
      <c r="AT156" s="139">
        <v>98</v>
      </c>
      <c r="AU156" s="228">
        <v>1882</v>
      </c>
      <c r="AV156" s="138"/>
      <c r="AW156" s="224">
        <v>2.4113475177304964</v>
      </c>
      <c r="AX156" s="225">
        <v>30.245883803583087</v>
      </c>
      <c r="AY156" s="139">
        <v>-1095.1115834218915</v>
      </c>
      <c r="AZ156" s="144"/>
      <c r="BA156"/>
      <c r="BC156" s="189">
        <v>64.661770390413608</v>
      </c>
      <c r="BD156" s="183">
        <v>772.05100956429328</v>
      </c>
      <c r="BE156" s="140">
        <v>37.225029830841578</v>
      </c>
      <c r="BF156" s="139">
        <v>7570.1381509032944</v>
      </c>
      <c r="BG156" s="184">
        <v>2556</v>
      </c>
      <c r="BH156" s="216">
        <v>2524</v>
      </c>
      <c r="BI156" s="216">
        <v>13227</v>
      </c>
      <c r="BJ156" s="216">
        <v>-10703</v>
      </c>
      <c r="BK156" s="216">
        <v>6597</v>
      </c>
      <c r="BL156" s="216">
        <v>4666</v>
      </c>
      <c r="BM156" s="151"/>
      <c r="BO156" s="216">
        <v>-19</v>
      </c>
      <c r="BP156" s="216">
        <v>290</v>
      </c>
      <c r="BQ156" s="216">
        <v>831</v>
      </c>
      <c r="BR156" s="216">
        <v>483</v>
      </c>
      <c r="BS156" s="216">
        <v>0</v>
      </c>
      <c r="BT156" s="216">
        <v>0</v>
      </c>
      <c r="BU156" s="216">
        <v>348</v>
      </c>
      <c r="BV156" s="184">
        <v>0</v>
      </c>
      <c r="BW156" s="183">
        <v>0</v>
      </c>
      <c r="BX156" s="183">
        <v>0</v>
      </c>
      <c r="BY156" s="183">
        <v>348</v>
      </c>
      <c r="BZ156" s="183">
        <v>1743</v>
      </c>
      <c r="CA156" s="183">
        <v>839</v>
      </c>
      <c r="CB156" s="167"/>
      <c r="CC156" s="183">
        <v>-43</v>
      </c>
      <c r="CD156" s="183">
        <v>-43</v>
      </c>
      <c r="CE156" s="180">
        <v>296</v>
      </c>
      <c r="CF156" s="139">
        <v>6597</v>
      </c>
      <c r="CG156" s="216">
        <v>5738</v>
      </c>
      <c r="CH156" s="216">
        <v>456</v>
      </c>
      <c r="CI156" s="216">
        <v>403</v>
      </c>
      <c r="CJ156" s="212">
        <v>21.5</v>
      </c>
      <c r="CK156" s="144"/>
      <c r="CL156" s="130">
        <v>45</v>
      </c>
      <c r="CM156" s="228">
        <v>1871</v>
      </c>
      <c r="CN156" s="138"/>
      <c r="CO156" s="142">
        <v>25.796610169491526</v>
      </c>
      <c r="CP156" s="142">
        <v>58.569538268681661</v>
      </c>
      <c r="CQ156" s="183">
        <v>-3495.9914484233032</v>
      </c>
      <c r="CR156" s="144"/>
      <c r="CS156"/>
      <c r="CU156" s="232">
        <v>51.419749682968515</v>
      </c>
      <c r="CV156" s="143">
        <v>657.93693212185997</v>
      </c>
      <c r="CW156" s="146">
        <v>23.040613301881955</v>
      </c>
      <c r="CX156" s="143">
        <v>10422.768572955638</v>
      </c>
      <c r="CY156" s="131">
        <v>2598</v>
      </c>
      <c r="CZ156" s="229">
        <v>2415</v>
      </c>
      <c r="DA156" s="229">
        <v>13163</v>
      </c>
      <c r="DB156" s="216">
        <v>-10748</v>
      </c>
      <c r="DC156" s="229">
        <v>6601</v>
      </c>
      <c r="DD156" s="229">
        <v>5343</v>
      </c>
      <c r="DE156" s="151"/>
      <c r="DG156" s="229">
        <v>-14</v>
      </c>
      <c r="DH156" s="229">
        <v>321</v>
      </c>
      <c r="DI156" s="229">
        <v>1503</v>
      </c>
      <c r="DJ156" s="229">
        <v>541</v>
      </c>
      <c r="DK156" s="229">
        <v>0</v>
      </c>
      <c r="DL156" s="229">
        <v>0</v>
      </c>
      <c r="DM156" s="229">
        <v>962</v>
      </c>
      <c r="DN156" s="131">
        <v>0</v>
      </c>
      <c r="DO156" s="130">
        <v>-60</v>
      </c>
      <c r="DP156" s="130">
        <v>0</v>
      </c>
      <c r="DQ156" s="130">
        <v>902</v>
      </c>
      <c r="DR156" s="130">
        <v>2645</v>
      </c>
      <c r="DS156" s="130">
        <v>1494</v>
      </c>
      <c r="DT156" s="167"/>
      <c r="DU156" s="183">
        <v>16</v>
      </c>
      <c r="DV156" s="183">
        <v>-40</v>
      </c>
      <c r="DW156" s="180">
        <v>-4481</v>
      </c>
      <c r="DX156" s="130">
        <v>6601</v>
      </c>
      <c r="DY156" s="229">
        <v>5743</v>
      </c>
      <c r="DZ156" s="229">
        <v>495</v>
      </c>
      <c r="EA156" s="229">
        <v>363</v>
      </c>
      <c r="EB156" s="212">
        <v>21.5</v>
      </c>
      <c r="EC156" s="208"/>
      <c r="ED156" s="183">
        <v>85.250000000000099</v>
      </c>
      <c r="EE156" s="3">
        <v>9174</v>
      </c>
      <c r="EF156" s="183">
        <v>9359</v>
      </c>
      <c r="EG156" s="130">
        <v>9205</v>
      </c>
      <c r="EH156" s="130"/>
      <c r="EI156" s="130"/>
      <c r="EJ156" s="130"/>
      <c r="EK156" s="183">
        <v>-313</v>
      </c>
      <c r="EL156" s="183">
        <v>65</v>
      </c>
      <c r="EM156" s="183">
        <v>316</v>
      </c>
      <c r="EN156" s="226">
        <v>-956</v>
      </c>
      <c r="EO156" s="226">
        <v>0</v>
      </c>
      <c r="EP156" s="226">
        <v>413</v>
      </c>
      <c r="EQ156" s="226">
        <v>-6278</v>
      </c>
      <c r="ER156" s="230">
        <v>225</v>
      </c>
      <c r="ES156" s="230">
        <v>78</v>
      </c>
      <c r="ET156" s="3">
        <v>0</v>
      </c>
      <c r="EU156" s="211">
        <v>0</v>
      </c>
      <c r="EV156" s="183">
        <v>0</v>
      </c>
      <c r="EW156" s="183">
        <v>0</v>
      </c>
      <c r="EX156" s="130">
        <v>0</v>
      </c>
      <c r="EY156" s="183">
        <v>3497</v>
      </c>
      <c r="EZ156" s="3">
        <v>1880</v>
      </c>
      <c r="FA156" s="3">
        <v>1837</v>
      </c>
      <c r="FB156" s="3">
        <v>43</v>
      </c>
      <c r="FC156" s="3">
        <v>0</v>
      </c>
      <c r="FD156" s="226">
        <v>1837</v>
      </c>
      <c r="FE156" s="183">
        <v>1793</v>
      </c>
      <c r="FF156" s="183">
        <v>44</v>
      </c>
      <c r="FG156" s="183">
        <v>0</v>
      </c>
      <c r="FH156" s="230">
        <v>5293</v>
      </c>
      <c r="FI156" s="130">
        <v>1753</v>
      </c>
      <c r="FJ156" s="130">
        <v>3540</v>
      </c>
      <c r="FK156" s="130">
        <v>0</v>
      </c>
      <c r="FL156" s="29">
        <v>1152.9656607700313</v>
      </c>
      <c r="FM156" s="139">
        <v>1143.4643995749202</v>
      </c>
      <c r="FN156" s="139">
        <v>3065.2057723142707</v>
      </c>
      <c r="FO156" s="172">
        <f t="shared" si="6"/>
        <v>267.11627906976742</v>
      </c>
      <c r="FP156" s="170">
        <f t="shared" si="7"/>
        <v>142.76658421687193</v>
      </c>
      <c r="FR156" s="175"/>
      <c r="FS156" s="195"/>
      <c r="FV156" s="175">
        <v>33</v>
      </c>
      <c r="FW156" s="2">
        <f t="shared" si="8"/>
        <v>-33</v>
      </c>
      <c r="FZ156" s="186"/>
      <c r="GA156" s="2"/>
      <c r="GB156" s="2"/>
    </row>
    <row r="157" spans="1:184" ht="13" x14ac:dyDescent="0.3">
      <c r="A157" s="77">
        <v>505</v>
      </c>
      <c r="B157" s="75" t="s">
        <v>154</v>
      </c>
      <c r="C157" s="179">
        <v>20686</v>
      </c>
      <c r="D157" s="138"/>
      <c r="E157" s="142">
        <v>0.34860009710309109</v>
      </c>
      <c r="F157" s="142">
        <v>53.723170251684458</v>
      </c>
      <c r="G157" s="183">
        <v>-4213.9611331335209</v>
      </c>
      <c r="H157" s="144"/>
      <c r="I157" s="186"/>
      <c r="K157" s="210">
        <v>58.5909672166691</v>
      </c>
      <c r="L157" s="143">
        <v>2.1753843178961616</v>
      </c>
      <c r="M157" s="146">
        <v>8.0981141378035248E-2</v>
      </c>
      <c r="N157" s="143">
        <v>9804.9405394953101</v>
      </c>
      <c r="O157" s="138">
        <v>55146</v>
      </c>
      <c r="P157" s="143">
        <v>64488</v>
      </c>
      <c r="Q157" s="184">
        <v>170680</v>
      </c>
      <c r="R157" s="184">
        <v>-106192</v>
      </c>
      <c r="S157" s="139">
        <v>79624</v>
      </c>
      <c r="T157" s="138">
        <v>28828</v>
      </c>
      <c r="U157" s="151"/>
      <c r="W157" s="183">
        <v>1069</v>
      </c>
      <c r="X157" s="183">
        <v>306</v>
      </c>
      <c r="Y157" s="184">
        <v>3635</v>
      </c>
      <c r="Z157" s="130">
        <v>6810</v>
      </c>
      <c r="AA157" s="131">
        <v>0</v>
      </c>
      <c r="AB157" s="131">
        <v>0</v>
      </c>
      <c r="AC157" s="184">
        <v>-3175</v>
      </c>
      <c r="AD157" s="184">
        <v>31</v>
      </c>
      <c r="AE157" s="184">
        <v>0</v>
      </c>
      <c r="AF157" s="184">
        <v>0</v>
      </c>
      <c r="AG157" s="183">
        <v>-3144</v>
      </c>
      <c r="AH157" s="183">
        <v>78088</v>
      </c>
      <c r="AI157" s="183">
        <v>2826</v>
      </c>
      <c r="AJ157" s="167"/>
      <c r="AK157" s="183">
        <v>1612</v>
      </c>
      <c r="AL157" s="183">
        <v>-11685</v>
      </c>
      <c r="AM157" s="180">
        <v>-14406</v>
      </c>
      <c r="AN157" s="139">
        <v>79624</v>
      </c>
      <c r="AO157" s="138">
        <v>69917</v>
      </c>
      <c r="AP157" s="184">
        <v>2753</v>
      </c>
      <c r="AQ157" s="138">
        <v>6954</v>
      </c>
      <c r="AR157" s="109">
        <v>20.5</v>
      </c>
      <c r="AS157" s="144"/>
      <c r="AT157" s="139">
        <v>180</v>
      </c>
      <c r="AU157" s="228">
        <v>20721</v>
      </c>
      <c r="AV157" s="138"/>
      <c r="AW157" s="224">
        <v>-4.5852585258525855E-2</v>
      </c>
      <c r="AX157" s="225">
        <v>79.440403799531026</v>
      </c>
      <c r="AY157" s="139">
        <v>-4684.185126200473</v>
      </c>
      <c r="AZ157" s="144"/>
      <c r="BA157"/>
      <c r="BC157" s="189">
        <v>55.27933433705423</v>
      </c>
      <c r="BD157" s="183">
        <v>7.9629361517301289</v>
      </c>
      <c r="BE157" s="140">
        <v>0.42838851940107409</v>
      </c>
      <c r="BF157" s="139">
        <v>6784.6629023695768</v>
      </c>
      <c r="BG157" s="184">
        <v>35483</v>
      </c>
      <c r="BH157" s="216">
        <v>12576</v>
      </c>
      <c r="BI157" s="216">
        <v>128585</v>
      </c>
      <c r="BJ157" s="216">
        <v>-115856</v>
      </c>
      <c r="BK157" s="216">
        <v>83620</v>
      </c>
      <c r="BL157" s="216">
        <v>29609</v>
      </c>
      <c r="BM157" s="151"/>
      <c r="BO157" s="216">
        <v>1090</v>
      </c>
      <c r="BP157" s="216">
        <v>261</v>
      </c>
      <c r="BQ157" s="216">
        <v>-1276</v>
      </c>
      <c r="BR157" s="216">
        <v>7038</v>
      </c>
      <c r="BS157" s="216">
        <v>0</v>
      </c>
      <c r="BT157" s="216">
        <v>0</v>
      </c>
      <c r="BU157" s="216">
        <v>-8314</v>
      </c>
      <c r="BV157" s="184">
        <v>31</v>
      </c>
      <c r="BW157" s="184">
        <v>0</v>
      </c>
      <c r="BX157" s="184">
        <v>0</v>
      </c>
      <c r="BY157" s="183">
        <v>-8283</v>
      </c>
      <c r="BZ157" s="183">
        <v>69805</v>
      </c>
      <c r="CA157" s="183">
        <v>-2803</v>
      </c>
      <c r="CB157" s="167"/>
      <c r="CC157" s="183">
        <v>2882</v>
      </c>
      <c r="CD157" s="183">
        <v>-1096</v>
      </c>
      <c r="CE157" s="180">
        <v>-10205</v>
      </c>
      <c r="CF157" s="139">
        <v>83620</v>
      </c>
      <c r="CG157" s="216">
        <v>72831</v>
      </c>
      <c r="CH157" s="216">
        <v>3495</v>
      </c>
      <c r="CI157" s="216">
        <v>7294</v>
      </c>
      <c r="CJ157" s="213">
        <v>20.5</v>
      </c>
      <c r="CK157" s="144"/>
      <c r="CL157" s="130">
        <v>249</v>
      </c>
      <c r="CM157" s="228">
        <v>20783</v>
      </c>
      <c r="CN157" s="138"/>
      <c r="CO157" s="142">
        <v>0.98298637526799915</v>
      </c>
      <c r="CP157" s="142">
        <v>72.958712762632899</v>
      </c>
      <c r="CQ157" s="183">
        <v>-4154.6937400760235</v>
      </c>
      <c r="CR157" s="144"/>
      <c r="CS157"/>
      <c r="CU157" s="232">
        <v>55.350233311787782</v>
      </c>
      <c r="CV157" s="143">
        <v>568.44536399942263</v>
      </c>
      <c r="CW157" s="146">
        <v>29.992905384256908</v>
      </c>
      <c r="CX157" s="143">
        <v>6917.7212144541209</v>
      </c>
      <c r="CY157" s="131">
        <v>34023</v>
      </c>
      <c r="CZ157" s="229">
        <v>10818</v>
      </c>
      <c r="DA157" s="229">
        <v>125536</v>
      </c>
      <c r="DB157" s="216">
        <v>-114718</v>
      </c>
      <c r="DC157" s="229">
        <v>87900</v>
      </c>
      <c r="DD157" s="229">
        <v>38965</v>
      </c>
      <c r="DE157" s="151"/>
      <c r="DG157" s="229">
        <v>1479</v>
      </c>
      <c r="DH157" s="229">
        <v>193</v>
      </c>
      <c r="DI157" s="229">
        <v>13819</v>
      </c>
      <c r="DJ157" s="229">
        <v>12897</v>
      </c>
      <c r="DK157" s="229">
        <v>0</v>
      </c>
      <c r="DL157" s="229">
        <v>0</v>
      </c>
      <c r="DM157" s="229">
        <v>922</v>
      </c>
      <c r="DN157" s="131">
        <v>31</v>
      </c>
      <c r="DO157" s="131">
        <v>0</v>
      </c>
      <c r="DP157" s="131">
        <v>0</v>
      </c>
      <c r="DQ157" s="130">
        <v>953</v>
      </c>
      <c r="DR157" s="130">
        <v>70758</v>
      </c>
      <c r="DS157" s="130">
        <v>12336</v>
      </c>
      <c r="DT157" s="167"/>
      <c r="DU157" s="183">
        <v>486</v>
      </c>
      <c r="DV157" s="183">
        <v>-14065</v>
      </c>
      <c r="DW157" s="180">
        <v>10500</v>
      </c>
      <c r="DX157" s="130">
        <v>87900</v>
      </c>
      <c r="DY157" s="229">
        <v>77048</v>
      </c>
      <c r="DZ157" s="229">
        <v>4349</v>
      </c>
      <c r="EA157" s="229">
        <v>6503</v>
      </c>
      <c r="EB157" s="213">
        <v>20.5</v>
      </c>
      <c r="EC157" s="209"/>
      <c r="ED157" s="183">
        <v>150.72794117647001</v>
      </c>
      <c r="EE157" s="3">
        <v>99378</v>
      </c>
      <c r="EF157" s="183">
        <v>81511</v>
      </c>
      <c r="EG157" s="130">
        <v>81331</v>
      </c>
      <c r="EH157" s="130"/>
      <c r="EI157" s="130"/>
      <c r="EJ157" s="130"/>
      <c r="EK157" s="183">
        <v>-19854</v>
      </c>
      <c r="EL157" s="183">
        <v>120</v>
      </c>
      <c r="EM157" s="183">
        <v>2502</v>
      </c>
      <c r="EN157" s="226">
        <v>-10237</v>
      </c>
      <c r="EO157" s="226">
        <v>97</v>
      </c>
      <c r="EP157" s="226">
        <v>2738</v>
      </c>
      <c r="EQ157" s="226">
        <v>-3755</v>
      </c>
      <c r="ER157" s="230">
        <v>355</v>
      </c>
      <c r="ES157" s="230">
        <v>1564</v>
      </c>
      <c r="ET157" s="3">
        <v>21874</v>
      </c>
      <c r="EU157" s="211">
        <v>1316</v>
      </c>
      <c r="EV157" s="183">
        <v>0</v>
      </c>
      <c r="EW157" s="183">
        <v>8751</v>
      </c>
      <c r="EX157" s="130">
        <v>55000</v>
      </c>
      <c r="EY157" s="183">
        <v>-33664</v>
      </c>
      <c r="EZ157" s="3">
        <v>74188</v>
      </c>
      <c r="FA157" s="3">
        <v>41344</v>
      </c>
      <c r="FB157" s="3">
        <v>32844</v>
      </c>
      <c r="FC157" s="3">
        <v>30024</v>
      </c>
      <c r="FD157" s="226">
        <v>81844</v>
      </c>
      <c r="FE157" s="183">
        <v>37084</v>
      </c>
      <c r="FF157" s="183">
        <v>44760</v>
      </c>
      <c r="FG157" s="183">
        <v>29514</v>
      </c>
      <c r="FH157" s="230">
        <v>89116</v>
      </c>
      <c r="FI157" s="130">
        <v>71810</v>
      </c>
      <c r="FJ157" s="130">
        <v>17306</v>
      </c>
      <c r="FK157" s="130">
        <v>29328</v>
      </c>
      <c r="FL157" s="29">
        <v>8397.6602533114183</v>
      </c>
      <c r="FM157" s="139">
        <v>9339.7036822547161</v>
      </c>
      <c r="FN157" s="139">
        <v>9548.862050714526</v>
      </c>
      <c r="FO157" s="172">
        <f t="shared" si="6"/>
        <v>3758.439024390244</v>
      </c>
      <c r="FP157" s="170">
        <f t="shared" si="7"/>
        <v>180.8419874123199</v>
      </c>
      <c r="FR157" s="175"/>
      <c r="FS157" s="195"/>
      <c r="FV157" s="175">
        <v>4931</v>
      </c>
      <c r="FW157" s="2">
        <f t="shared" si="8"/>
        <v>-4931</v>
      </c>
      <c r="FZ157" s="186"/>
      <c r="GA157" s="2"/>
      <c r="GB157" s="2"/>
    </row>
    <row r="158" spans="1:184" ht="13" x14ac:dyDescent="0.3">
      <c r="A158" s="174">
        <v>508</v>
      </c>
      <c r="B158" s="81" t="s">
        <v>363</v>
      </c>
      <c r="C158" s="179">
        <v>9983</v>
      </c>
      <c r="D158" s="138"/>
      <c r="E158" s="142">
        <v>0.62057044079515988</v>
      </c>
      <c r="F158" s="142">
        <v>56.122776085911205</v>
      </c>
      <c r="G158" s="183">
        <v>-3832.6154462586396</v>
      </c>
      <c r="H158" s="144"/>
      <c r="I158" s="186"/>
      <c r="K158" s="210">
        <v>43.710659492557433</v>
      </c>
      <c r="L158" s="143">
        <v>221.57668035660623</v>
      </c>
      <c r="M158" s="146">
        <v>8.8266226454286052</v>
      </c>
      <c r="N158" s="143">
        <v>9162.6765501352293</v>
      </c>
      <c r="O158" s="138">
        <v>18363</v>
      </c>
      <c r="P158" s="143">
        <v>22607</v>
      </c>
      <c r="Q158" s="184">
        <v>86066</v>
      </c>
      <c r="R158" s="184">
        <v>-63459</v>
      </c>
      <c r="S158" s="139">
        <v>39313</v>
      </c>
      <c r="T158" s="138">
        <v>25426</v>
      </c>
      <c r="U158" s="151"/>
      <c r="W158" s="183">
        <v>-315</v>
      </c>
      <c r="X158" s="183">
        <v>734</v>
      </c>
      <c r="Y158" s="184">
        <v>1699</v>
      </c>
      <c r="Z158" s="130">
        <v>2854</v>
      </c>
      <c r="AA158" s="130">
        <v>0</v>
      </c>
      <c r="AB158" s="130">
        <v>0</v>
      </c>
      <c r="AC158" s="184">
        <v>-1155</v>
      </c>
      <c r="AD158" s="184">
        <v>4</v>
      </c>
      <c r="AE158" s="183">
        <v>0</v>
      </c>
      <c r="AF158" s="183">
        <v>0</v>
      </c>
      <c r="AG158" s="183">
        <v>-1151</v>
      </c>
      <c r="AH158" s="183">
        <v>2794</v>
      </c>
      <c r="AI158" s="183">
        <v>-1246</v>
      </c>
      <c r="AJ158" s="167"/>
      <c r="AK158" s="183">
        <v>-1076</v>
      </c>
      <c r="AL158" s="183">
        <v>-3016</v>
      </c>
      <c r="AM158" s="180">
        <v>-76</v>
      </c>
      <c r="AN158" s="139">
        <v>39313</v>
      </c>
      <c r="AO158" s="138">
        <v>34122</v>
      </c>
      <c r="AP158" s="184">
        <v>2046</v>
      </c>
      <c r="AQ158" s="138">
        <v>3145</v>
      </c>
      <c r="AR158" s="109">
        <v>22</v>
      </c>
      <c r="AS158" s="144"/>
      <c r="AT158" s="139">
        <v>183</v>
      </c>
      <c r="AU158" s="228">
        <v>9855</v>
      </c>
      <c r="AV158" s="138"/>
      <c r="AW158" s="224">
        <v>0.15343871827348543</v>
      </c>
      <c r="AX158" s="225">
        <v>73.116184556538371</v>
      </c>
      <c r="AY158" s="139">
        <v>-4007.0015220700152</v>
      </c>
      <c r="AZ158" s="144"/>
      <c r="BA158"/>
      <c r="BC158" s="189">
        <v>37.18681903280919</v>
      </c>
      <c r="BD158" s="183">
        <v>1247.1841704718415</v>
      </c>
      <c r="BE158" s="140">
        <v>49.851818515184853</v>
      </c>
      <c r="BF158" s="139">
        <v>9131.5068493150684</v>
      </c>
      <c r="BG158" s="184">
        <v>18130</v>
      </c>
      <c r="BH158" s="216">
        <v>19580</v>
      </c>
      <c r="BI158" s="216">
        <v>84466</v>
      </c>
      <c r="BJ158" s="216">
        <v>-64886</v>
      </c>
      <c r="BK158" s="216">
        <v>39501</v>
      </c>
      <c r="BL158" s="216">
        <v>24579</v>
      </c>
      <c r="BM158" s="151"/>
      <c r="BO158" s="216">
        <v>-281</v>
      </c>
      <c r="BP158" s="216">
        <v>1849</v>
      </c>
      <c r="BQ158" s="216">
        <v>762</v>
      </c>
      <c r="BR158" s="216">
        <v>2676</v>
      </c>
      <c r="BS158" s="216">
        <v>0</v>
      </c>
      <c r="BT158" s="216">
        <v>0</v>
      </c>
      <c r="BU158" s="216">
        <v>-1914</v>
      </c>
      <c r="BV158" s="184">
        <v>4</v>
      </c>
      <c r="BW158" s="183">
        <v>0</v>
      </c>
      <c r="BX158" s="183">
        <v>0</v>
      </c>
      <c r="BY158" s="183">
        <v>-1910</v>
      </c>
      <c r="BZ158" s="183">
        <v>884</v>
      </c>
      <c r="CA158" s="183">
        <v>-1298</v>
      </c>
      <c r="CB158" s="167"/>
      <c r="CC158" s="183">
        <v>-841</v>
      </c>
      <c r="CD158" s="183">
        <v>-3016</v>
      </c>
      <c r="CE158" s="180">
        <v>-1296</v>
      </c>
      <c r="CF158" s="139">
        <v>39501</v>
      </c>
      <c r="CG158" s="216">
        <v>33804</v>
      </c>
      <c r="CH158" s="216">
        <v>2531</v>
      </c>
      <c r="CI158" s="216">
        <v>3166</v>
      </c>
      <c r="CJ158" s="212">
        <v>22</v>
      </c>
      <c r="CK158" s="144"/>
      <c r="CL158" s="130">
        <v>195</v>
      </c>
      <c r="CM158" s="228">
        <v>9673</v>
      </c>
      <c r="CN158" s="138"/>
      <c r="CO158" s="142">
        <v>0.65230644178012598</v>
      </c>
      <c r="CP158" s="142">
        <v>60.612279801607663</v>
      </c>
      <c r="CQ158" s="183">
        <v>-3905.8203246149073</v>
      </c>
      <c r="CR158" s="144"/>
      <c r="CS158"/>
      <c r="CU158" s="232">
        <v>40.629346507772254</v>
      </c>
      <c r="CV158" s="143">
        <v>577.38033702057271</v>
      </c>
      <c r="CW158" s="146">
        <v>22.333391763532983</v>
      </c>
      <c r="CX158" s="143">
        <v>9436.265894758606</v>
      </c>
      <c r="CY158" s="131">
        <v>18448</v>
      </c>
      <c r="CZ158" s="229">
        <v>17299</v>
      </c>
      <c r="DA158" s="229">
        <v>85076</v>
      </c>
      <c r="DB158" s="216">
        <v>-67777</v>
      </c>
      <c r="DC158" s="229">
        <v>41716</v>
      </c>
      <c r="DD158" s="229">
        <v>28690</v>
      </c>
      <c r="DE158" s="151"/>
      <c r="DG158" s="229">
        <v>-171</v>
      </c>
      <c r="DH158" s="229">
        <v>447</v>
      </c>
      <c r="DI158" s="229">
        <v>2905</v>
      </c>
      <c r="DJ158" s="229">
        <v>2740</v>
      </c>
      <c r="DK158" s="229">
        <v>0</v>
      </c>
      <c r="DL158" s="229">
        <v>0</v>
      </c>
      <c r="DM158" s="229">
        <v>165</v>
      </c>
      <c r="DN158" s="131">
        <v>4</v>
      </c>
      <c r="DO158" s="130">
        <v>0</v>
      </c>
      <c r="DP158" s="130">
        <v>0</v>
      </c>
      <c r="DQ158" s="130">
        <v>169</v>
      </c>
      <c r="DR158" s="130">
        <v>1053</v>
      </c>
      <c r="DS158" s="130">
        <v>2884</v>
      </c>
      <c r="DT158" s="167"/>
      <c r="DU158" s="183">
        <v>-404</v>
      </c>
      <c r="DV158" s="183">
        <v>-4616</v>
      </c>
      <c r="DW158" s="180">
        <v>1646</v>
      </c>
      <c r="DX158" s="130">
        <v>41716</v>
      </c>
      <c r="DY158" s="229">
        <v>34957</v>
      </c>
      <c r="DZ158" s="229">
        <v>3911</v>
      </c>
      <c r="EA158" s="229">
        <v>2848</v>
      </c>
      <c r="EB158" s="212">
        <v>22</v>
      </c>
      <c r="EC158" s="208"/>
      <c r="ED158" s="183">
        <v>276.64705882352899</v>
      </c>
      <c r="EE158" s="3">
        <v>58039</v>
      </c>
      <c r="EF158" s="183">
        <v>57748</v>
      </c>
      <c r="EG158" s="130">
        <v>58836</v>
      </c>
      <c r="EH158" s="130"/>
      <c r="EI158" s="130"/>
      <c r="EJ158" s="130"/>
      <c r="EK158" s="183">
        <v>-1917</v>
      </c>
      <c r="EL158" s="183">
        <v>0</v>
      </c>
      <c r="EM158" s="183">
        <v>3087</v>
      </c>
      <c r="EN158" s="226">
        <v>-2097</v>
      </c>
      <c r="EO158" s="226">
        <v>0</v>
      </c>
      <c r="EP158" s="226">
        <v>2099</v>
      </c>
      <c r="EQ158" s="226">
        <v>-1278</v>
      </c>
      <c r="ER158" s="230">
        <v>7</v>
      </c>
      <c r="ES158" s="230">
        <v>33</v>
      </c>
      <c r="ET158" s="3">
        <v>0</v>
      </c>
      <c r="EU158" s="211">
        <v>2000</v>
      </c>
      <c r="EV158" s="183">
        <v>8000</v>
      </c>
      <c r="EW158" s="183">
        <v>8000</v>
      </c>
      <c r="EX158" s="130">
        <v>0</v>
      </c>
      <c r="EY158" s="183">
        <v>-7000</v>
      </c>
      <c r="EZ158" s="3">
        <v>41342</v>
      </c>
      <c r="FA158" s="3">
        <v>33326</v>
      </c>
      <c r="FB158" s="3">
        <v>8016</v>
      </c>
      <c r="FC158" s="3">
        <v>15283</v>
      </c>
      <c r="FD158" s="226">
        <v>54326</v>
      </c>
      <c r="FE158" s="183">
        <v>36710</v>
      </c>
      <c r="FF158" s="183">
        <v>17616</v>
      </c>
      <c r="FG158" s="183">
        <v>15190</v>
      </c>
      <c r="FH158" s="230">
        <v>42710</v>
      </c>
      <c r="FI158" s="130">
        <v>32094</v>
      </c>
      <c r="FJ158" s="130">
        <v>10616</v>
      </c>
      <c r="FK158" s="130">
        <v>15097</v>
      </c>
      <c r="FL158" s="29">
        <v>6378.1428428328154</v>
      </c>
      <c r="FM158" s="139">
        <v>7899.3404363267382</v>
      </c>
      <c r="FN158" s="139">
        <v>7342.0862193735138</v>
      </c>
      <c r="FO158" s="172">
        <f t="shared" si="6"/>
        <v>1588.9545454545455</v>
      </c>
      <c r="FP158" s="170">
        <f t="shared" si="7"/>
        <v>164.26698495343174</v>
      </c>
      <c r="FR158" s="175"/>
      <c r="FS158" s="195"/>
      <c r="FV158" s="175">
        <v>2013</v>
      </c>
      <c r="FW158" s="2">
        <f t="shared" si="8"/>
        <v>-2013</v>
      </c>
      <c r="FZ158" s="186"/>
      <c r="GA158" s="2"/>
      <c r="GB158" s="2"/>
    </row>
    <row r="159" spans="1:184" ht="13" x14ac:dyDescent="0.3">
      <c r="A159" s="77">
        <v>507</v>
      </c>
      <c r="B159" s="75" t="s">
        <v>155</v>
      </c>
      <c r="C159" s="179">
        <v>5924</v>
      </c>
      <c r="D159" s="138"/>
      <c r="E159" s="142">
        <v>1.176536943034405</v>
      </c>
      <c r="F159" s="142">
        <v>37.641805182796183</v>
      </c>
      <c r="G159" s="183">
        <v>-2387.9135719108708</v>
      </c>
      <c r="H159" s="144"/>
      <c r="I159" s="186"/>
      <c r="K159" s="210">
        <v>55.498286282410191</v>
      </c>
      <c r="L159" s="143">
        <v>128.7981093855503</v>
      </c>
      <c r="M159" s="146">
        <v>6.0386174895379341</v>
      </c>
      <c r="N159" s="143">
        <v>7785.1114112086425</v>
      </c>
      <c r="O159" s="138">
        <v>10380</v>
      </c>
      <c r="P159" s="143">
        <v>5435</v>
      </c>
      <c r="Q159" s="184">
        <v>42505</v>
      </c>
      <c r="R159" s="184">
        <v>-37070</v>
      </c>
      <c r="S159" s="139">
        <v>20905</v>
      </c>
      <c r="T159" s="138">
        <v>17999</v>
      </c>
      <c r="U159" s="151"/>
      <c r="W159" s="183">
        <v>-123</v>
      </c>
      <c r="X159" s="183">
        <v>223</v>
      </c>
      <c r="Y159" s="184">
        <v>1934</v>
      </c>
      <c r="Z159" s="130">
        <v>1783</v>
      </c>
      <c r="AA159" s="130">
        <v>0</v>
      </c>
      <c r="AB159" s="131">
        <v>0</v>
      </c>
      <c r="AC159" s="184">
        <v>151</v>
      </c>
      <c r="AD159" s="184">
        <v>0</v>
      </c>
      <c r="AE159" s="184">
        <v>0</v>
      </c>
      <c r="AF159" s="183">
        <v>0</v>
      </c>
      <c r="AG159" s="183">
        <v>151</v>
      </c>
      <c r="AH159" s="183">
        <v>5713</v>
      </c>
      <c r="AI159" s="183">
        <v>1923</v>
      </c>
      <c r="AJ159" s="167"/>
      <c r="AK159" s="183">
        <v>-694</v>
      </c>
      <c r="AL159" s="183">
        <v>-1621</v>
      </c>
      <c r="AM159" s="180">
        <v>350</v>
      </c>
      <c r="AN159" s="139">
        <v>20905</v>
      </c>
      <c r="AO159" s="138">
        <v>15855</v>
      </c>
      <c r="AP159" s="184">
        <v>2818</v>
      </c>
      <c r="AQ159" s="138">
        <v>2232</v>
      </c>
      <c r="AR159" s="109">
        <v>19.75</v>
      </c>
      <c r="AS159" s="144"/>
      <c r="AT159" s="139">
        <v>101</v>
      </c>
      <c r="AU159" s="228">
        <v>5791</v>
      </c>
      <c r="AV159" s="138"/>
      <c r="AW159" s="224">
        <v>-0.14721423936219524</v>
      </c>
      <c r="AX159" s="225">
        <v>54.725560988985876</v>
      </c>
      <c r="AY159" s="139">
        <v>-3173.0271110343638</v>
      </c>
      <c r="AZ159" s="144"/>
      <c r="BA159"/>
      <c r="BC159" s="189">
        <v>43.508057047601405</v>
      </c>
      <c r="BD159" s="183">
        <v>651.52823346572268</v>
      </c>
      <c r="BE159" s="140">
        <v>27.264259270257963</v>
      </c>
      <c r="BF159" s="139">
        <v>8722.3277499568303</v>
      </c>
      <c r="BG159" s="184">
        <v>10094</v>
      </c>
      <c r="BH159" s="216">
        <v>4997</v>
      </c>
      <c r="BI159" s="216">
        <v>44537</v>
      </c>
      <c r="BJ159" s="216">
        <v>-39540</v>
      </c>
      <c r="BK159" s="216">
        <v>20816</v>
      </c>
      <c r="BL159" s="216">
        <v>17949</v>
      </c>
      <c r="BM159" s="151"/>
      <c r="BO159" s="216">
        <v>-107</v>
      </c>
      <c r="BP159" s="216">
        <v>349</v>
      </c>
      <c r="BQ159" s="216">
        <v>-533</v>
      </c>
      <c r="BR159" s="216">
        <v>1887</v>
      </c>
      <c r="BS159" s="216">
        <v>0</v>
      </c>
      <c r="BT159" s="216">
        <v>0</v>
      </c>
      <c r="BU159" s="216">
        <v>-2420</v>
      </c>
      <c r="BV159" s="184">
        <v>0</v>
      </c>
      <c r="BW159" s="184">
        <v>0</v>
      </c>
      <c r="BX159" s="183">
        <v>0</v>
      </c>
      <c r="BY159" s="183">
        <v>-2420</v>
      </c>
      <c r="BZ159" s="183">
        <v>3293</v>
      </c>
      <c r="CA159" s="183">
        <v>-561</v>
      </c>
      <c r="CB159" s="167"/>
      <c r="CC159" s="183">
        <v>-22</v>
      </c>
      <c r="CD159" s="183">
        <v>-1638</v>
      </c>
      <c r="CE159" s="180">
        <v>-4476</v>
      </c>
      <c r="CF159" s="139">
        <v>20816</v>
      </c>
      <c r="CG159" s="216">
        <v>15618</v>
      </c>
      <c r="CH159" s="216">
        <v>2343</v>
      </c>
      <c r="CI159" s="216">
        <v>2855</v>
      </c>
      <c r="CJ159" s="212">
        <v>19.75</v>
      </c>
      <c r="CK159" s="144"/>
      <c r="CL159" s="130">
        <v>258</v>
      </c>
      <c r="CM159" s="228">
        <v>5676</v>
      </c>
      <c r="CN159" s="138"/>
      <c r="CO159" s="142">
        <v>2.152995391705069</v>
      </c>
      <c r="CP159" s="142">
        <v>52.816828505766168</v>
      </c>
      <c r="CQ159" s="183">
        <v>-3475.5109231853417</v>
      </c>
      <c r="CR159" s="144"/>
      <c r="CS159"/>
      <c r="CU159" s="232">
        <v>44.596032691980248</v>
      </c>
      <c r="CV159" s="143">
        <v>590.55673009161376</v>
      </c>
      <c r="CW159" s="146">
        <v>23.260960492794403</v>
      </c>
      <c r="CX159" s="143">
        <v>9266.7371388301617</v>
      </c>
      <c r="CY159" s="131">
        <v>9721</v>
      </c>
      <c r="CZ159" s="229">
        <v>5386</v>
      </c>
      <c r="DA159" s="229">
        <v>44025</v>
      </c>
      <c r="DB159" s="216">
        <v>-38639</v>
      </c>
      <c r="DC159" s="229">
        <v>22066</v>
      </c>
      <c r="DD159" s="229">
        <v>20847</v>
      </c>
      <c r="DE159" s="151"/>
      <c r="DG159" s="229">
        <v>-103</v>
      </c>
      <c r="DH159" s="229">
        <v>368</v>
      </c>
      <c r="DI159" s="229">
        <v>4539</v>
      </c>
      <c r="DJ159" s="229">
        <v>2108</v>
      </c>
      <c r="DK159" s="229">
        <v>5</v>
      </c>
      <c r="DL159" s="229">
        <v>276</v>
      </c>
      <c r="DM159" s="229">
        <v>2160</v>
      </c>
      <c r="DN159" s="131">
        <v>0</v>
      </c>
      <c r="DO159" s="131">
        <v>0</v>
      </c>
      <c r="DP159" s="130">
        <v>0</v>
      </c>
      <c r="DQ159" s="130">
        <v>2160</v>
      </c>
      <c r="DR159" s="130">
        <v>5454</v>
      </c>
      <c r="DS159" s="130">
        <v>4228</v>
      </c>
      <c r="DT159" s="167"/>
      <c r="DU159" s="183">
        <v>-629</v>
      </c>
      <c r="DV159" s="183">
        <v>-2037</v>
      </c>
      <c r="DW159" s="180">
        <v>-1535</v>
      </c>
      <c r="DX159" s="130">
        <v>22066</v>
      </c>
      <c r="DY159" s="229">
        <v>16696</v>
      </c>
      <c r="DZ159" s="229">
        <v>2793</v>
      </c>
      <c r="EA159" s="229">
        <v>2577</v>
      </c>
      <c r="EB159" s="212">
        <v>20.25</v>
      </c>
      <c r="EC159" s="208"/>
      <c r="ED159" s="183">
        <v>86.257352941176507</v>
      </c>
      <c r="EE159" s="3">
        <v>28547</v>
      </c>
      <c r="EF159" s="183">
        <v>30637</v>
      </c>
      <c r="EG159" s="130">
        <v>30001</v>
      </c>
      <c r="EH159" s="130"/>
      <c r="EI159" s="130"/>
      <c r="EJ159" s="130"/>
      <c r="EK159" s="183">
        <v>-1704</v>
      </c>
      <c r="EL159" s="183">
        <v>110</v>
      </c>
      <c r="EM159" s="183">
        <v>21</v>
      </c>
      <c r="EN159" s="226">
        <v>-4185</v>
      </c>
      <c r="EO159" s="226">
        <v>240</v>
      </c>
      <c r="EP159" s="226">
        <v>30</v>
      </c>
      <c r="EQ159" s="226">
        <v>-6333</v>
      </c>
      <c r="ER159" s="230">
        <v>525</v>
      </c>
      <c r="ES159" s="230">
        <v>45</v>
      </c>
      <c r="ET159" s="3">
        <v>0</v>
      </c>
      <c r="EU159" s="211">
        <v>0</v>
      </c>
      <c r="EV159" s="183">
        <v>8330</v>
      </c>
      <c r="EW159" s="183">
        <v>0</v>
      </c>
      <c r="EX159" s="130">
        <v>0</v>
      </c>
      <c r="EY159" s="183">
        <v>4000</v>
      </c>
      <c r="EZ159" s="3">
        <v>11586</v>
      </c>
      <c r="FA159" s="3">
        <v>9948</v>
      </c>
      <c r="FB159" s="3">
        <v>1638</v>
      </c>
      <c r="FC159" s="3">
        <v>2558</v>
      </c>
      <c r="FD159" s="226">
        <v>18277</v>
      </c>
      <c r="FE159" s="183">
        <v>16240</v>
      </c>
      <c r="FF159" s="183">
        <v>2037</v>
      </c>
      <c r="FG159" s="183">
        <v>2451</v>
      </c>
      <c r="FH159" s="230">
        <v>20241</v>
      </c>
      <c r="FI159" s="130">
        <v>14181</v>
      </c>
      <c r="FJ159" s="130">
        <v>6060</v>
      </c>
      <c r="FK159" s="130">
        <v>2353</v>
      </c>
      <c r="FL159" s="29">
        <v>4599.5948683322076</v>
      </c>
      <c r="FM159" s="139">
        <v>5288.8965636332241</v>
      </c>
      <c r="FN159" s="139">
        <v>5667.5475687103599</v>
      </c>
      <c r="FO159" s="172">
        <f t="shared" si="6"/>
        <v>824.49382716049388</v>
      </c>
      <c r="FP159" s="170">
        <f t="shared" si="7"/>
        <v>145.25965947154577</v>
      </c>
      <c r="FR159" s="175"/>
      <c r="FS159" s="195"/>
      <c r="FV159" s="175">
        <v>328</v>
      </c>
      <c r="FW159" s="2">
        <f t="shared" si="8"/>
        <v>-328</v>
      </c>
      <c r="FZ159" s="186"/>
      <c r="GA159" s="2"/>
      <c r="GB159" s="2"/>
    </row>
    <row r="160" spans="1:184" ht="13" x14ac:dyDescent="0.3">
      <c r="A160" s="77">
        <v>529</v>
      </c>
      <c r="B160" s="75" t="s">
        <v>156</v>
      </c>
      <c r="C160" s="179">
        <v>19245</v>
      </c>
      <c r="D160" s="138"/>
      <c r="E160" s="142">
        <v>11.070716228467814</v>
      </c>
      <c r="F160" s="142">
        <v>34.501654018291497</v>
      </c>
      <c r="G160" s="183">
        <v>-1822.4993504806444</v>
      </c>
      <c r="H160" s="144"/>
      <c r="I160" s="186"/>
      <c r="K160" s="210">
        <v>71.536165184402009</v>
      </c>
      <c r="L160" s="143">
        <v>117.64094570018187</v>
      </c>
      <c r="M160" s="146">
        <v>6.2883146135817123</v>
      </c>
      <c r="N160" s="143">
        <v>6828.3710054559624</v>
      </c>
      <c r="O160" s="138">
        <v>52688</v>
      </c>
      <c r="P160" s="143">
        <v>25136</v>
      </c>
      <c r="Q160" s="184">
        <v>119156</v>
      </c>
      <c r="R160" s="184">
        <v>-94020</v>
      </c>
      <c r="S160" s="139">
        <v>89564</v>
      </c>
      <c r="T160" s="138">
        <v>14306</v>
      </c>
      <c r="U160" s="151"/>
      <c r="W160" s="183">
        <v>267</v>
      </c>
      <c r="X160" s="183">
        <v>1607</v>
      </c>
      <c r="Y160" s="184">
        <v>11724</v>
      </c>
      <c r="Z160" s="130">
        <v>7768</v>
      </c>
      <c r="AA160" s="130">
        <v>0</v>
      </c>
      <c r="AB160" s="130">
        <v>0</v>
      </c>
      <c r="AC160" s="184">
        <v>3956</v>
      </c>
      <c r="AD160" s="183">
        <v>69</v>
      </c>
      <c r="AE160" s="183">
        <v>300</v>
      </c>
      <c r="AF160" s="183">
        <v>0</v>
      </c>
      <c r="AG160" s="183">
        <v>4325</v>
      </c>
      <c r="AH160" s="183">
        <v>60044</v>
      </c>
      <c r="AI160" s="183">
        <v>10196</v>
      </c>
      <c r="AJ160" s="167"/>
      <c r="AK160" s="183">
        <v>435</v>
      </c>
      <c r="AL160" s="183">
        <v>-616</v>
      </c>
      <c r="AM160" s="180">
        <v>1524</v>
      </c>
      <c r="AN160" s="139">
        <v>89564</v>
      </c>
      <c r="AO160" s="138">
        <v>74124</v>
      </c>
      <c r="AP160" s="184">
        <v>8840</v>
      </c>
      <c r="AQ160" s="138">
        <v>6600</v>
      </c>
      <c r="AR160" s="109">
        <v>19</v>
      </c>
      <c r="AS160" s="144"/>
      <c r="AT160" s="139">
        <v>19</v>
      </c>
      <c r="AU160" s="228">
        <v>19314</v>
      </c>
      <c r="AV160" s="138"/>
      <c r="AW160" s="224">
        <v>3.9690658230072939</v>
      </c>
      <c r="AX160" s="225">
        <v>31.743897157705195</v>
      </c>
      <c r="AY160" s="139">
        <v>-1729.8332815574195</v>
      </c>
      <c r="AZ160" s="144"/>
      <c r="BA160"/>
      <c r="BC160" s="189">
        <v>73.106055887079691</v>
      </c>
      <c r="BD160" s="183">
        <v>62.752407579993786</v>
      </c>
      <c r="BE160" s="140">
        <v>3.2744633604737232</v>
      </c>
      <c r="BF160" s="139">
        <v>6994.9259604432018</v>
      </c>
      <c r="BG160" s="184">
        <v>54785</v>
      </c>
      <c r="BH160" s="216">
        <v>25394</v>
      </c>
      <c r="BI160" s="216">
        <v>123915</v>
      </c>
      <c r="BJ160" s="216">
        <v>-97820</v>
      </c>
      <c r="BK160" s="216">
        <v>90778</v>
      </c>
      <c r="BL160" s="216">
        <v>15447</v>
      </c>
      <c r="BM160" s="151"/>
      <c r="BO160" s="216">
        <v>291</v>
      </c>
      <c r="BP160" s="216">
        <v>2141</v>
      </c>
      <c r="BQ160" s="216">
        <v>10837</v>
      </c>
      <c r="BR160" s="216">
        <v>8909</v>
      </c>
      <c r="BS160" s="216">
        <v>413</v>
      </c>
      <c r="BT160" s="216">
        <v>0</v>
      </c>
      <c r="BU160" s="216">
        <v>2341</v>
      </c>
      <c r="BV160" s="183">
        <v>67</v>
      </c>
      <c r="BW160" s="183">
        <v>1700</v>
      </c>
      <c r="BX160" s="183">
        <v>0</v>
      </c>
      <c r="BY160" s="183">
        <v>4108</v>
      </c>
      <c r="BZ160" s="183">
        <v>49151</v>
      </c>
      <c r="CA160" s="183">
        <v>8806</v>
      </c>
      <c r="CB160" s="167"/>
      <c r="CC160" s="183">
        <v>-322</v>
      </c>
      <c r="CD160" s="183">
        <v>0</v>
      </c>
      <c r="CE160" s="180">
        <v>2201</v>
      </c>
      <c r="CF160" s="139">
        <v>90778</v>
      </c>
      <c r="CG160" s="216">
        <v>74045</v>
      </c>
      <c r="CH160" s="216">
        <v>9947</v>
      </c>
      <c r="CI160" s="216">
        <v>6786</v>
      </c>
      <c r="CJ160" s="212">
        <v>19</v>
      </c>
      <c r="CK160" s="144"/>
      <c r="CL160" s="130">
        <v>21</v>
      </c>
      <c r="CM160" s="228">
        <v>19427</v>
      </c>
      <c r="CN160" s="138"/>
      <c r="CO160" s="142">
        <v>40.957894736842107</v>
      </c>
      <c r="CP160" s="142">
        <v>30.900409758024136</v>
      </c>
      <c r="CQ160" s="183">
        <v>-1492.1501003757658</v>
      </c>
      <c r="CR160" s="144"/>
      <c r="CS160"/>
      <c r="CU160" s="232">
        <v>73.784430999178625</v>
      </c>
      <c r="CV160" s="143">
        <v>433.93215627734594</v>
      </c>
      <c r="CW160" s="146">
        <v>21.75322379955885</v>
      </c>
      <c r="CX160" s="143">
        <v>7281.0006691717708</v>
      </c>
      <c r="CY160" s="131">
        <v>56359</v>
      </c>
      <c r="CZ160" s="229">
        <v>24352</v>
      </c>
      <c r="DA160" s="229">
        <v>125278</v>
      </c>
      <c r="DB160" s="216">
        <v>-100926</v>
      </c>
      <c r="DC160" s="229">
        <v>95201</v>
      </c>
      <c r="DD160" s="229">
        <v>22927</v>
      </c>
      <c r="DE160" s="151"/>
      <c r="DG160" s="229">
        <v>253</v>
      </c>
      <c r="DH160" s="229">
        <v>1525</v>
      </c>
      <c r="DI160" s="229">
        <v>18980</v>
      </c>
      <c r="DJ160" s="229">
        <v>8783</v>
      </c>
      <c r="DK160" s="229">
        <v>0</v>
      </c>
      <c r="DL160" s="229">
        <v>0</v>
      </c>
      <c r="DM160" s="229">
        <v>10197</v>
      </c>
      <c r="DN160" s="130">
        <v>67</v>
      </c>
      <c r="DO160" s="130">
        <v>0</v>
      </c>
      <c r="DP160" s="130">
        <v>0</v>
      </c>
      <c r="DQ160" s="130">
        <v>10264</v>
      </c>
      <c r="DR160" s="130">
        <v>59415</v>
      </c>
      <c r="DS160" s="130">
        <v>17221</v>
      </c>
      <c r="DT160" s="167"/>
      <c r="DU160" s="183">
        <v>763</v>
      </c>
      <c r="DV160" s="183">
        <v>0</v>
      </c>
      <c r="DW160" s="180">
        <v>4515</v>
      </c>
      <c r="DX160" s="130">
        <v>95201</v>
      </c>
      <c r="DY160" s="229">
        <v>78673</v>
      </c>
      <c r="DZ160" s="229">
        <v>10309</v>
      </c>
      <c r="EA160" s="229">
        <v>6219</v>
      </c>
      <c r="EB160" s="212">
        <v>19</v>
      </c>
      <c r="EC160" s="208"/>
      <c r="ED160" s="183">
        <v>41.933823529411796</v>
      </c>
      <c r="EE160" s="3">
        <v>49225</v>
      </c>
      <c r="EF160" s="183">
        <v>52261</v>
      </c>
      <c r="EG160" s="130">
        <v>51716</v>
      </c>
      <c r="EH160" s="130"/>
      <c r="EI160" s="130"/>
      <c r="EJ160" s="130"/>
      <c r="EK160" s="183">
        <v>-11457</v>
      </c>
      <c r="EL160" s="183">
        <v>105</v>
      </c>
      <c r="EM160" s="183">
        <v>2680</v>
      </c>
      <c r="EN160" s="226">
        <v>-10371</v>
      </c>
      <c r="EO160" s="226">
        <v>92</v>
      </c>
      <c r="EP160" s="226">
        <v>3674</v>
      </c>
      <c r="EQ160" s="226">
        <v>-14867</v>
      </c>
      <c r="ER160" s="230">
        <v>139</v>
      </c>
      <c r="ES160" s="230">
        <v>2022</v>
      </c>
      <c r="ET160" s="3">
        <v>0</v>
      </c>
      <c r="EU160" s="211">
        <v>-1500</v>
      </c>
      <c r="EV160" s="183">
        <v>0</v>
      </c>
      <c r="EW160" s="183">
        <v>-6116</v>
      </c>
      <c r="EX160" s="130">
        <v>0</v>
      </c>
      <c r="EY160" s="183">
        <v>500</v>
      </c>
      <c r="EZ160" s="3">
        <v>20616</v>
      </c>
      <c r="FA160" s="3">
        <v>0</v>
      </c>
      <c r="FB160" s="3">
        <v>20616</v>
      </c>
      <c r="FC160" s="3">
        <v>11790</v>
      </c>
      <c r="FD160" s="226">
        <v>14500</v>
      </c>
      <c r="FE160" s="183">
        <v>0</v>
      </c>
      <c r="FF160" s="183">
        <v>14500</v>
      </c>
      <c r="FG160" s="183">
        <v>12521</v>
      </c>
      <c r="FH160" s="230">
        <v>15000</v>
      </c>
      <c r="FI160" s="130">
        <v>0</v>
      </c>
      <c r="FJ160" s="130">
        <v>15000</v>
      </c>
      <c r="FK160" s="130">
        <v>12801</v>
      </c>
      <c r="FL160" s="29">
        <v>3614.393348921798</v>
      </c>
      <c r="FM160" s="139">
        <v>3388.3711297504401</v>
      </c>
      <c r="FN160" s="139">
        <v>3337.9832192309673</v>
      </c>
      <c r="FO160" s="172">
        <f t="shared" si="6"/>
        <v>4140.6842105263158</v>
      </c>
      <c r="FP160" s="170">
        <f t="shared" si="7"/>
        <v>213.14069133300643</v>
      </c>
      <c r="FR160" s="175"/>
      <c r="FS160" s="195"/>
      <c r="FV160" s="175">
        <v>735</v>
      </c>
      <c r="FW160" s="2">
        <f t="shared" si="8"/>
        <v>-735</v>
      </c>
      <c r="FZ160" s="186"/>
      <c r="GA160" s="2"/>
      <c r="GB160" s="2"/>
    </row>
    <row r="161" spans="1:184" ht="13" x14ac:dyDescent="0.3">
      <c r="A161" s="77">
        <v>531</v>
      </c>
      <c r="B161" s="75" t="s">
        <v>157</v>
      </c>
      <c r="C161" s="179">
        <v>5437</v>
      </c>
      <c r="D161" s="138"/>
      <c r="E161" s="142">
        <v>1.8933092224231465</v>
      </c>
      <c r="F161" s="142">
        <v>39.960779722531171</v>
      </c>
      <c r="G161" s="183">
        <v>-1452.2714732389186</v>
      </c>
      <c r="H161" s="144"/>
      <c r="I161" s="186"/>
      <c r="K161" s="210">
        <v>54.794205564497588</v>
      </c>
      <c r="L161" s="143">
        <v>736.06768438477104</v>
      </c>
      <c r="M161" s="146">
        <v>37.408574062692068</v>
      </c>
      <c r="N161" s="143">
        <v>7181.901784072099</v>
      </c>
      <c r="O161" s="138">
        <v>12456</v>
      </c>
      <c r="P161" s="143">
        <v>3724</v>
      </c>
      <c r="Q161" s="184">
        <v>32194</v>
      </c>
      <c r="R161" s="184">
        <v>-28470</v>
      </c>
      <c r="S161" s="139">
        <v>19341</v>
      </c>
      <c r="T161" s="138">
        <v>11101</v>
      </c>
      <c r="U161" s="151"/>
      <c r="W161" s="183">
        <v>-32</v>
      </c>
      <c r="X161" s="183">
        <v>98</v>
      </c>
      <c r="Y161" s="184">
        <v>2038</v>
      </c>
      <c r="Z161" s="130">
        <v>1139</v>
      </c>
      <c r="AA161" s="130">
        <v>0</v>
      </c>
      <c r="AB161" s="130">
        <v>0</v>
      </c>
      <c r="AC161" s="184">
        <v>899</v>
      </c>
      <c r="AD161" s="183">
        <v>20</v>
      </c>
      <c r="AE161" s="183">
        <v>0</v>
      </c>
      <c r="AF161" s="183">
        <v>0</v>
      </c>
      <c r="AG161" s="183">
        <v>919</v>
      </c>
      <c r="AH161" s="183">
        <v>4047</v>
      </c>
      <c r="AI161" s="183">
        <v>1987</v>
      </c>
      <c r="AJ161" s="167"/>
      <c r="AK161" s="183">
        <v>-350</v>
      </c>
      <c r="AL161" s="183">
        <v>-1050</v>
      </c>
      <c r="AM161" s="180">
        <v>-3176</v>
      </c>
      <c r="AN161" s="139">
        <v>19341</v>
      </c>
      <c r="AO161" s="138">
        <v>17362</v>
      </c>
      <c r="AP161" s="184">
        <v>574</v>
      </c>
      <c r="AQ161" s="138">
        <v>1405</v>
      </c>
      <c r="AR161" s="109">
        <v>21.25</v>
      </c>
      <c r="AS161" s="144"/>
      <c r="AT161" s="139">
        <v>83</v>
      </c>
      <c r="AU161" s="228">
        <v>5329</v>
      </c>
      <c r="AV161" s="138"/>
      <c r="AW161" s="224">
        <v>0.45883307782487148</v>
      </c>
      <c r="AX161" s="225">
        <v>38.965045548473469</v>
      </c>
      <c r="AY161" s="139">
        <v>-1591.8558829048602</v>
      </c>
      <c r="AZ161" s="144"/>
      <c r="BA161"/>
      <c r="BC161" s="189">
        <v>53.904996072806746</v>
      </c>
      <c r="BD161" s="183">
        <v>732.78288609495212</v>
      </c>
      <c r="BE161" s="140">
        <v>39.268396837204179</v>
      </c>
      <c r="BF161" s="139">
        <v>6811.2216175642707</v>
      </c>
      <c r="BG161" s="184">
        <v>13096</v>
      </c>
      <c r="BH161" s="216">
        <v>3875</v>
      </c>
      <c r="BI161" s="216">
        <v>33837</v>
      </c>
      <c r="BJ161" s="216">
        <v>-29962</v>
      </c>
      <c r="BK161" s="216">
        <v>19430</v>
      </c>
      <c r="BL161" s="216">
        <v>11054</v>
      </c>
      <c r="BM161" s="151"/>
      <c r="BO161" s="216">
        <v>-42</v>
      </c>
      <c r="BP161" s="216">
        <v>91</v>
      </c>
      <c r="BQ161" s="216">
        <v>571</v>
      </c>
      <c r="BR161" s="216">
        <v>1467</v>
      </c>
      <c r="BS161" s="216">
        <v>0</v>
      </c>
      <c r="BT161" s="216">
        <v>0</v>
      </c>
      <c r="BU161" s="216">
        <v>-896</v>
      </c>
      <c r="BV161" s="183">
        <v>20</v>
      </c>
      <c r="BW161" s="183">
        <v>0</v>
      </c>
      <c r="BX161" s="183">
        <v>0</v>
      </c>
      <c r="BY161" s="183">
        <v>-876</v>
      </c>
      <c r="BZ161" s="183">
        <v>3171</v>
      </c>
      <c r="CA161" s="183">
        <v>555</v>
      </c>
      <c r="CB161" s="167"/>
      <c r="CC161" s="183">
        <v>755</v>
      </c>
      <c r="CD161" s="183">
        <v>-1200</v>
      </c>
      <c r="CE161" s="180">
        <v>-582</v>
      </c>
      <c r="CF161" s="139">
        <v>19430</v>
      </c>
      <c r="CG161" s="216">
        <v>17564</v>
      </c>
      <c r="CH161" s="216">
        <v>517</v>
      </c>
      <c r="CI161" s="216">
        <v>1349</v>
      </c>
      <c r="CJ161" s="212">
        <v>21.25</v>
      </c>
      <c r="CK161" s="144"/>
      <c r="CL161" s="130">
        <v>178</v>
      </c>
      <c r="CM161" s="228">
        <v>5256</v>
      </c>
      <c r="CN161" s="138"/>
      <c r="CO161" s="142">
        <v>2.0566176470588236</v>
      </c>
      <c r="CP161" s="142">
        <v>32.766845557543235</v>
      </c>
      <c r="CQ161" s="183">
        <v>-1284.0563165905633</v>
      </c>
      <c r="CR161" s="144"/>
      <c r="CS161"/>
      <c r="CU161" s="232">
        <v>58.30682401231401</v>
      </c>
      <c r="CV161" s="143">
        <v>773.40182648401822</v>
      </c>
      <c r="CW161" s="146">
        <v>40.358094875421607</v>
      </c>
      <c r="CX161" s="143">
        <v>6994.6727549467278</v>
      </c>
      <c r="CY161" s="131">
        <v>13084</v>
      </c>
      <c r="CZ161" s="229">
        <v>3891</v>
      </c>
      <c r="DA161" s="229">
        <v>34201</v>
      </c>
      <c r="DB161" s="216">
        <v>-30310</v>
      </c>
      <c r="DC161" s="229">
        <v>19642</v>
      </c>
      <c r="DD161" s="229">
        <v>13361</v>
      </c>
      <c r="DE161" s="151"/>
      <c r="DG161" s="229">
        <v>-40</v>
      </c>
      <c r="DH161" s="229">
        <v>84</v>
      </c>
      <c r="DI161" s="229">
        <v>2737</v>
      </c>
      <c r="DJ161" s="229">
        <v>1476</v>
      </c>
      <c r="DK161" s="229">
        <v>0</v>
      </c>
      <c r="DL161" s="229">
        <v>0</v>
      </c>
      <c r="DM161" s="229">
        <v>1261</v>
      </c>
      <c r="DN161" s="130">
        <v>20</v>
      </c>
      <c r="DO161" s="130">
        <v>0</v>
      </c>
      <c r="DP161" s="130">
        <v>0</v>
      </c>
      <c r="DQ161" s="130">
        <v>1281</v>
      </c>
      <c r="DR161" s="130">
        <v>4452</v>
      </c>
      <c r="DS161" s="130">
        <v>2665</v>
      </c>
      <c r="DT161" s="167"/>
      <c r="DU161" s="183">
        <v>-274</v>
      </c>
      <c r="DV161" s="183">
        <v>-1300</v>
      </c>
      <c r="DW161" s="180">
        <v>1632</v>
      </c>
      <c r="DX161" s="130">
        <v>19642</v>
      </c>
      <c r="DY161" s="229">
        <v>17726</v>
      </c>
      <c r="DZ161" s="229">
        <v>526</v>
      </c>
      <c r="EA161" s="229">
        <v>1390</v>
      </c>
      <c r="EB161" s="212">
        <v>21.25</v>
      </c>
      <c r="EC161" s="208"/>
      <c r="ED161" s="183">
        <v>221.242647058823</v>
      </c>
      <c r="EE161" s="3">
        <v>16750</v>
      </c>
      <c r="EF161" s="183">
        <v>17562</v>
      </c>
      <c r="EG161" s="130">
        <v>17758</v>
      </c>
      <c r="EH161" s="130"/>
      <c r="EI161" s="130"/>
      <c r="EJ161" s="130"/>
      <c r="EK161" s="183">
        <v>-5747</v>
      </c>
      <c r="EL161" s="183">
        <v>525</v>
      </c>
      <c r="EM161" s="183">
        <v>59</v>
      </c>
      <c r="EN161" s="226">
        <v>-1160</v>
      </c>
      <c r="EO161" s="226">
        <v>4</v>
      </c>
      <c r="EP161" s="226">
        <v>19</v>
      </c>
      <c r="EQ161" s="226">
        <v>-1201</v>
      </c>
      <c r="ER161" s="230">
        <v>76</v>
      </c>
      <c r="ES161" s="230">
        <v>92</v>
      </c>
      <c r="ET161" s="3">
        <v>5000</v>
      </c>
      <c r="EU161" s="211">
        <v>0</v>
      </c>
      <c r="EV161" s="183">
        <v>2000</v>
      </c>
      <c r="EW161" s="183">
        <v>0</v>
      </c>
      <c r="EX161" s="130">
        <v>0</v>
      </c>
      <c r="EY161" s="183">
        <v>0</v>
      </c>
      <c r="EZ161" s="3">
        <v>7750</v>
      </c>
      <c r="FA161" s="3">
        <v>6550</v>
      </c>
      <c r="FB161" s="3">
        <v>1200</v>
      </c>
      <c r="FC161" s="3">
        <v>1090</v>
      </c>
      <c r="FD161" s="226">
        <v>8550</v>
      </c>
      <c r="FE161" s="183">
        <v>7250</v>
      </c>
      <c r="FF161" s="183">
        <v>1300</v>
      </c>
      <c r="FG161" s="183">
        <v>985</v>
      </c>
      <c r="FH161" s="230">
        <v>7250</v>
      </c>
      <c r="FI161" s="130">
        <v>5950</v>
      </c>
      <c r="FJ161" s="130">
        <v>1300</v>
      </c>
      <c r="FK161" s="130">
        <v>915</v>
      </c>
      <c r="FL161" s="29">
        <v>2288.5782600698917</v>
      </c>
      <c r="FM161" s="139">
        <v>2456.5584537436671</v>
      </c>
      <c r="FN161" s="139">
        <v>2188.9269406392696</v>
      </c>
      <c r="FO161" s="172">
        <f t="shared" si="6"/>
        <v>834.16470588235291</v>
      </c>
      <c r="FP161" s="170">
        <f t="shared" si="7"/>
        <v>158.70713582236547</v>
      </c>
      <c r="FR161" s="175"/>
      <c r="FS161" s="195"/>
      <c r="FV161" s="175">
        <v>402</v>
      </c>
      <c r="FW161" s="2">
        <f t="shared" si="8"/>
        <v>-402</v>
      </c>
      <c r="FZ161" s="186"/>
      <c r="GA161" s="2"/>
      <c r="GB161" s="2"/>
    </row>
    <row r="162" spans="1:184" ht="13" x14ac:dyDescent="0.3">
      <c r="A162" s="77">
        <v>535</v>
      </c>
      <c r="B162" s="75" t="s">
        <v>158</v>
      </c>
      <c r="C162" s="179">
        <v>10737</v>
      </c>
      <c r="D162" s="138"/>
      <c r="E162" s="142">
        <v>1.0195272353545735</v>
      </c>
      <c r="F162" s="142">
        <v>78.111758305063049</v>
      </c>
      <c r="G162" s="183">
        <v>-3741.5479184129645</v>
      </c>
      <c r="H162" s="144"/>
      <c r="I162" s="186"/>
      <c r="K162" s="210">
        <v>41.924372466553748</v>
      </c>
      <c r="L162" s="143">
        <v>1642.2650647294404</v>
      </c>
      <c r="M162" s="146">
        <v>75.464261426259881</v>
      </c>
      <c r="N162" s="143">
        <v>7943.1871099934797</v>
      </c>
      <c r="O162" s="138">
        <v>23752</v>
      </c>
      <c r="P162" s="143">
        <v>9852</v>
      </c>
      <c r="Q162" s="184">
        <v>76393</v>
      </c>
      <c r="R162" s="184">
        <v>-66541</v>
      </c>
      <c r="S162" s="139">
        <v>31179</v>
      </c>
      <c r="T162" s="138">
        <v>37191</v>
      </c>
      <c r="U162" s="151"/>
      <c r="W162" s="183">
        <v>70</v>
      </c>
      <c r="X162" s="183">
        <v>-30</v>
      </c>
      <c r="Y162" s="184">
        <v>1869</v>
      </c>
      <c r="Z162" s="130">
        <v>2237</v>
      </c>
      <c r="AA162" s="130">
        <v>0</v>
      </c>
      <c r="AB162" s="131">
        <v>0</v>
      </c>
      <c r="AC162" s="184">
        <v>-368</v>
      </c>
      <c r="AD162" s="184">
        <v>2</v>
      </c>
      <c r="AE162" s="183">
        <v>0</v>
      </c>
      <c r="AF162" s="183">
        <v>750</v>
      </c>
      <c r="AG162" s="183">
        <v>384</v>
      </c>
      <c r="AH162" s="183">
        <v>6626</v>
      </c>
      <c r="AI162" s="183">
        <v>1857</v>
      </c>
      <c r="AJ162" s="167"/>
      <c r="AK162" s="183">
        <v>463</v>
      </c>
      <c r="AL162" s="183">
        <v>-1831</v>
      </c>
      <c r="AM162" s="180">
        <v>-4165</v>
      </c>
      <c r="AN162" s="139">
        <v>31179</v>
      </c>
      <c r="AO162" s="138">
        <v>27573</v>
      </c>
      <c r="AP162" s="184">
        <v>1130</v>
      </c>
      <c r="AQ162" s="138">
        <v>2476</v>
      </c>
      <c r="AR162" s="109">
        <v>21.5</v>
      </c>
      <c r="AS162" s="144"/>
      <c r="AT162" s="139">
        <v>181</v>
      </c>
      <c r="AU162" s="228">
        <v>10639</v>
      </c>
      <c r="AV162" s="138"/>
      <c r="AW162" s="224">
        <v>0.24112287613888206</v>
      </c>
      <c r="AX162" s="225">
        <v>80.057426259462275</v>
      </c>
      <c r="AY162" s="139">
        <v>-3937.4001315913151</v>
      </c>
      <c r="AZ162" s="144"/>
      <c r="BA162"/>
      <c r="BC162" s="189">
        <v>40.296349837368993</v>
      </c>
      <c r="BD162" s="183">
        <v>1913.0557383212708</v>
      </c>
      <c r="BE162" s="140">
        <v>87.513488361134677</v>
      </c>
      <c r="BF162" s="139">
        <v>7978.945389604286</v>
      </c>
      <c r="BG162" s="184">
        <v>24007</v>
      </c>
      <c r="BH162" s="216">
        <v>10398</v>
      </c>
      <c r="BI162" s="216">
        <v>79766</v>
      </c>
      <c r="BJ162" s="216">
        <v>-69273</v>
      </c>
      <c r="BK162" s="216">
        <v>32769</v>
      </c>
      <c r="BL162" s="216">
        <v>37284</v>
      </c>
      <c r="BM162" s="151"/>
      <c r="BO162" s="216">
        <v>49</v>
      </c>
      <c r="BP162" s="216">
        <v>889</v>
      </c>
      <c r="BQ162" s="216">
        <v>1718</v>
      </c>
      <c r="BR162" s="216">
        <v>2294</v>
      </c>
      <c r="BS162" s="216">
        <v>0</v>
      </c>
      <c r="BT162" s="216">
        <v>0</v>
      </c>
      <c r="BU162" s="216">
        <v>-576</v>
      </c>
      <c r="BV162" s="184">
        <v>2</v>
      </c>
      <c r="BW162" s="183">
        <v>0</v>
      </c>
      <c r="BX162" s="183">
        <v>0</v>
      </c>
      <c r="BY162" s="183">
        <v>-574</v>
      </c>
      <c r="BZ162" s="183">
        <v>6053</v>
      </c>
      <c r="CA162" s="183">
        <v>1687</v>
      </c>
      <c r="CB162" s="167"/>
      <c r="CC162" s="183">
        <v>1052</v>
      </c>
      <c r="CD162" s="183">
        <v>-1951</v>
      </c>
      <c r="CE162" s="180">
        <v>-1746</v>
      </c>
      <c r="CF162" s="139">
        <v>32769</v>
      </c>
      <c r="CG162" s="216">
        <v>29013</v>
      </c>
      <c r="CH162" s="216">
        <v>1238</v>
      </c>
      <c r="CI162" s="216">
        <v>2518</v>
      </c>
      <c r="CJ162" s="212">
        <v>22</v>
      </c>
      <c r="CK162" s="144"/>
      <c r="CL162" s="130">
        <v>147</v>
      </c>
      <c r="CM162" s="228">
        <v>10500</v>
      </c>
      <c r="CN162" s="138"/>
      <c r="CO162" s="142">
        <v>0.4151030350911844</v>
      </c>
      <c r="CP162" s="142">
        <v>82.909251019651464</v>
      </c>
      <c r="CQ162" s="183">
        <v>-3964.4761904761904</v>
      </c>
      <c r="CR162" s="144"/>
      <c r="CS162"/>
      <c r="CU162" s="232">
        <v>39.683883951031362</v>
      </c>
      <c r="CV162" s="143">
        <v>2240.6666666666665</v>
      </c>
      <c r="CW162" s="146">
        <v>84.015135209173096</v>
      </c>
      <c r="CX162" s="143">
        <v>9734.4761904761908</v>
      </c>
      <c r="CY162" s="131">
        <v>23503</v>
      </c>
      <c r="CZ162" s="229">
        <v>10225</v>
      </c>
      <c r="DA162" s="229">
        <v>80684</v>
      </c>
      <c r="DB162" s="216">
        <v>-70459</v>
      </c>
      <c r="DC162" s="229">
        <v>33804</v>
      </c>
      <c r="DD162" s="229">
        <v>42378</v>
      </c>
      <c r="DE162" s="151"/>
      <c r="DG162" s="229">
        <v>33</v>
      </c>
      <c r="DH162" s="229">
        <v>431</v>
      </c>
      <c r="DI162" s="229">
        <v>6187</v>
      </c>
      <c r="DJ162" s="229">
        <v>2346</v>
      </c>
      <c r="DK162" s="229">
        <v>0</v>
      </c>
      <c r="DL162" s="229">
        <v>0</v>
      </c>
      <c r="DM162" s="229">
        <v>3841</v>
      </c>
      <c r="DN162" s="131">
        <v>2</v>
      </c>
      <c r="DO162" s="130">
        <v>0</v>
      </c>
      <c r="DP162" s="130">
        <v>0</v>
      </c>
      <c r="DQ162" s="130">
        <v>3843</v>
      </c>
      <c r="DR162" s="130">
        <v>9896</v>
      </c>
      <c r="DS162" s="130">
        <v>6177</v>
      </c>
      <c r="DT162" s="167"/>
      <c r="DU162" s="183">
        <v>-4241</v>
      </c>
      <c r="DV162" s="183">
        <v>-15071</v>
      </c>
      <c r="DW162" s="180">
        <v>-60</v>
      </c>
      <c r="DX162" s="130">
        <v>33804</v>
      </c>
      <c r="DY162" s="229">
        <v>30009</v>
      </c>
      <c r="DZ162" s="229">
        <v>1504</v>
      </c>
      <c r="EA162" s="229">
        <v>2291</v>
      </c>
      <c r="EB162" s="212">
        <v>22</v>
      </c>
      <c r="EC162" s="208"/>
      <c r="ED162" s="183">
        <v>190.01470588235301</v>
      </c>
      <c r="EE162" s="3">
        <v>47379</v>
      </c>
      <c r="EF162" s="183">
        <v>49901</v>
      </c>
      <c r="EG162" s="130">
        <v>51286</v>
      </c>
      <c r="EH162" s="130"/>
      <c r="EI162" s="130"/>
      <c r="EJ162" s="130"/>
      <c r="EK162" s="183">
        <v>-6374</v>
      </c>
      <c r="EL162" s="183">
        <v>263</v>
      </c>
      <c r="EM162" s="183">
        <v>89</v>
      </c>
      <c r="EN162" s="226">
        <v>-3608</v>
      </c>
      <c r="EO162" s="226">
        <v>10</v>
      </c>
      <c r="EP162" s="226">
        <v>165</v>
      </c>
      <c r="EQ162" s="226">
        <v>-6300</v>
      </c>
      <c r="ER162" s="230">
        <v>0</v>
      </c>
      <c r="ES162" s="230">
        <v>63</v>
      </c>
      <c r="ET162" s="3">
        <v>6000</v>
      </c>
      <c r="EU162" s="211">
        <v>-1000</v>
      </c>
      <c r="EV162" s="183">
        <v>5000</v>
      </c>
      <c r="EW162" s="183">
        <v>1000</v>
      </c>
      <c r="EX162" s="130">
        <v>25500</v>
      </c>
      <c r="EY162" s="183">
        <v>-3000</v>
      </c>
      <c r="EZ162" s="3">
        <v>53172</v>
      </c>
      <c r="FA162" s="3">
        <v>26221</v>
      </c>
      <c r="FB162" s="3">
        <v>26951</v>
      </c>
      <c r="FC162" s="3">
        <v>1244</v>
      </c>
      <c r="FD162" s="226">
        <v>57221</v>
      </c>
      <c r="FE162" s="183">
        <v>28850</v>
      </c>
      <c r="FF162" s="183">
        <v>28371</v>
      </c>
      <c r="FG162" s="183">
        <v>1224</v>
      </c>
      <c r="FH162" s="230">
        <v>64650</v>
      </c>
      <c r="FI162" s="130">
        <v>37500</v>
      </c>
      <c r="FJ162" s="130">
        <v>27150</v>
      </c>
      <c r="FK162" s="130">
        <v>1224</v>
      </c>
      <c r="FL162" s="29">
        <v>9352.6124615814479</v>
      </c>
      <c r="FM162" s="139">
        <v>9650.7190525425322</v>
      </c>
      <c r="FN162" s="139">
        <v>11085.523809523809</v>
      </c>
      <c r="FO162" s="172">
        <f t="shared" si="6"/>
        <v>1364.0454545454545</v>
      </c>
      <c r="FP162" s="170">
        <f t="shared" si="7"/>
        <v>129.90909090909091</v>
      </c>
      <c r="FR162" s="175"/>
      <c r="FS162" s="195"/>
      <c r="FV162" s="175">
        <v>6414</v>
      </c>
      <c r="FW162" s="2">
        <f t="shared" si="8"/>
        <v>-6414</v>
      </c>
      <c r="FZ162" s="186"/>
      <c r="GA162" s="2"/>
      <c r="GB162" s="2"/>
    </row>
    <row r="163" spans="1:184" ht="13" x14ac:dyDescent="0.3">
      <c r="A163" s="77">
        <v>536</v>
      </c>
      <c r="B163" s="75" t="s">
        <v>159</v>
      </c>
      <c r="C163" s="179">
        <v>33527</v>
      </c>
      <c r="D163" s="138"/>
      <c r="E163" s="142">
        <v>1.1235069885641678</v>
      </c>
      <c r="F163" s="142">
        <v>61.763300139443899</v>
      </c>
      <c r="G163" s="183">
        <v>-2455.0362394488025</v>
      </c>
      <c r="H163" s="144"/>
      <c r="I163" s="186"/>
      <c r="K163" s="210">
        <v>41.800118349760524</v>
      </c>
      <c r="L163" s="143">
        <v>1025.1439138604708</v>
      </c>
      <c r="M163" s="146">
        <v>58.230982751257912</v>
      </c>
      <c r="N163" s="143">
        <v>6425.7464133385029</v>
      </c>
      <c r="O163" s="138">
        <v>86400</v>
      </c>
      <c r="P163" s="143">
        <v>29309</v>
      </c>
      <c r="Q163" s="184">
        <v>193361</v>
      </c>
      <c r="R163" s="184">
        <v>-164052</v>
      </c>
      <c r="S163" s="139">
        <v>135888</v>
      </c>
      <c r="T163" s="138">
        <v>39828</v>
      </c>
      <c r="U163" s="151"/>
      <c r="W163" s="183">
        <v>-775</v>
      </c>
      <c r="X163" s="183">
        <v>1429</v>
      </c>
      <c r="Y163" s="184">
        <v>12318</v>
      </c>
      <c r="Z163" s="130">
        <v>13881</v>
      </c>
      <c r="AA163" s="130">
        <v>0</v>
      </c>
      <c r="AB163" s="130">
        <v>0</v>
      </c>
      <c r="AC163" s="184">
        <v>-1563</v>
      </c>
      <c r="AD163" s="183">
        <v>68</v>
      </c>
      <c r="AE163" s="183">
        <v>0</v>
      </c>
      <c r="AF163" s="184">
        <v>0</v>
      </c>
      <c r="AG163" s="183">
        <v>-1495</v>
      </c>
      <c r="AH163" s="183">
        <v>5626</v>
      </c>
      <c r="AI163" s="183">
        <v>9210</v>
      </c>
      <c r="AJ163" s="167"/>
      <c r="AK163" s="183">
        <v>-850</v>
      </c>
      <c r="AL163" s="183">
        <v>-10860</v>
      </c>
      <c r="AM163" s="180">
        <v>2372</v>
      </c>
      <c r="AN163" s="139">
        <v>135888</v>
      </c>
      <c r="AO163" s="138">
        <v>118109</v>
      </c>
      <c r="AP163" s="184">
        <v>8837</v>
      </c>
      <c r="AQ163" s="138">
        <v>8942</v>
      </c>
      <c r="AR163" s="109">
        <v>20.5</v>
      </c>
      <c r="AS163" s="144"/>
      <c r="AT163" s="139">
        <v>87</v>
      </c>
      <c r="AU163" s="228">
        <v>33929</v>
      </c>
      <c r="AV163" s="138"/>
      <c r="AW163" s="224">
        <v>0.64143947450146332</v>
      </c>
      <c r="AX163" s="225">
        <v>60.234599814661266</v>
      </c>
      <c r="AY163" s="139">
        <v>-2557.576114828023</v>
      </c>
      <c r="AZ163" s="144"/>
      <c r="BA163"/>
      <c r="BC163" s="189">
        <v>40.547096724706606</v>
      </c>
      <c r="BD163" s="183">
        <v>785.64060243449546</v>
      </c>
      <c r="BE163" s="140">
        <v>42.451045411707213</v>
      </c>
      <c r="BF163" s="139">
        <v>6755.0473046656252</v>
      </c>
      <c r="BG163" s="184">
        <v>90194</v>
      </c>
      <c r="BH163" s="216">
        <v>27635</v>
      </c>
      <c r="BI163" s="216">
        <v>201850</v>
      </c>
      <c r="BJ163" s="216">
        <v>-170296</v>
      </c>
      <c r="BK163" s="216">
        <v>138608</v>
      </c>
      <c r="BL163" s="216">
        <v>38787</v>
      </c>
      <c r="BM163" s="151"/>
      <c r="BO163" s="216">
        <v>-780</v>
      </c>
      <c r="BP163" s="216">
        <v>1267</v>
      </c>
      <c r="BQ163" s="216">
        <v>7586</v>
      </c>
      <c r="BR163" s="216">
        <v>13425</v>
      </c>
      <c r="BS163" s="216">
        <v>0</v>
      </c>
      <c r="BT163" s="216">
        <v>0</v>
      </c>
      <c r="BU163" s="216">
        <v>-5839</v>
      </c>
      <c r="BV163" s="183">
        <v>67</v>
      </c>
      <c r="BW163" s="183">
        <v>0</v>
      </c>
      <c r="BX163" s="184">
        <v>0</v>
      </c>
      <c r="BY163" s="183">
        <v>-5772</v>
      </c>
      <c r="BZ163" s="183">
        <v>-146</v>
      </c>
      <c r="CA163" s="183">
        <v>6219</v>
      </c>
      <c r="CB163" s="167"/>
      <c r="CC163" s="183">
        <v>-1400</v>
      </c>
      <c r="CD163" s="183">
        <v>-10735</v>
      </c>
      <c r="CE163" s="180">
        <v>-9546</v>
      </c>
      <c r="CF163" s="139">
        <v>138608</v>
      </c>
      <c r="CG163" s="216">
        <v>120432</v>
      </c>
      <c r="CH163" s="216">
        <v>9234</v>
      </c>
      <c r="CI163" s="216">
        <v>8942</v>
      </c>
      <c r="CJ163" s="212">
        <v>20.5</v>
      </c>
      <c r="CK163" s="144"/>
      <c r="CL163" s="130">
        <v>117</v>
      </c>
      <c r="CM163" s="228">
        <v>34476</v>
      </c>
      <c r="CN163" s="138"/>
      <c r="CO163" s="142">
        <v>2.466394355737096</v>
      </c>
      <c r="CP163" s="142">
        <v>62.015233518908424</v>
      </c>
      <c r="CQ163" s="183">
        <v>-2630.8156398654137</v>
      </c>
      <c r="CR163" s="144"/>
      <c r="CS163"/>
      <c r="CU163" s="232">
        <v>40.527169304982756</v>
      </c>
      <c r="CV163" s="143">
        <v>1244.3148857176006</v>
      </c>
      <c r="CW163" s="146">
        <v>63.141969409193372</v>
      </c>
      <c r="CX163" s="143">
        <v>7192.9168116950923</v>
      </c>
      <c r="CY163" s="131">
        <v>90850</v>
      </c>
      <c r="CZ163" s="229">
        <v>36137</v>
      </c>
      <c r="DA163" s="229">
        <v>211376</v>
      </c>
      <c r="DB163" s="216">
        <v>-175239</v>
      </c>
      <c r="DC163" s="229">
        <v>147577</v>
      </c>
      <c r="DD163" s="229">
        <v>52910</v>
      </c>
      <c r="DE163" s="151"/>
      <c r="DG163" s="229">
        <v>-702</v>
      </c>
      <c r="DH163" s="229">
        <v>1185</v>
      </c>
      <c r="DI163" s="229">
        <v>25731</v>
      </c>
      <c r="DJ163" s="229">
        <v>11845</v>
      </c>
      <c r="DK163" s="229">
        <v>0</v>
      </c>
      <c r="DL163" s="229">
        <v>0</v>
      </c>
      <c r="DM163" s="229">
        <v>13886</v>
      </c>
      <c r="DN163" s="130">
        <v>67</v>
      </c>
      <c r="DO163" s="130">
        <v>0</v>
      </c>
      <c r="DP163" s="131">
        <v>0</v>
      </c>
      <c r="DQ163" s="130">
        <v>13953</v>
      </c>
      <c r="DR163" s="130">
        <v>13807</v>
      </c>
      <c r="DS163" s="130">
        <v>21696</v>
      </c>
      <c r="DT163" s="167"/>
      <c r="DU163" s="183">
        <v>-364</v>
      </c>
      <c r="DV163" s="183">
        <v>-9935</v>
      </c>
      <c r="DW163" s="180">
        <v>-4138</v>
      </c>
      <c r="DX163" s="130">
        <v>147577</v>
      </c>
      <c r="DY163" s="229">
        <v>130209</v>
      </c>
      <c r="DZ163" s="229">
        <v>9047</v>
      </c>
      <c r="EA163" s="229">
        <v>8321</v>
      </c>
      <c r="EB163" s="212">
        <v>21</v>
      </c>
      <c r="EC163" s="208"/>
      <c r="ED163" s="183">
        <v>108.419117647058</v>
      </c>
      <c r="EE163" s="3">
        <v>79551</v>
      </c>
      <c r="EF163" s="183">
        <v>81856</v>
      </c>
      <c r="EG163" s="130">
        <v>89549</v>
      </c>
      <c r="EH163" s="130"/>
      <c r="EI163" s="130"/>
      <c r="EJ163" s="130">
        <v>1300</v>
      </c>
      <c r="EK163" s="183">
        <v>-12175</v>
      </c>
      <c r="EL163" s="183">
        <v>1693</v>
      </c>
      <c r="EM163" s="183">
        <v>3644</v>
      </c>
      <c r="EN163" s="226">
        <v>-19528</v>
      </c>
      <c r="EO163" s="226">
        <v>2174</v>
      </c>
      <c r="EP163" s="226">
        <v>1589</v>
      </c>
      <c r="EQ163" s="226">
        <v>-30092</v>
      </c>
      <c r="ER163" s="230">
        <v>0</v>
      </c>
      <c r="ES163" s="230">
        <v>4258</v>
      </c>
      <c r="ET163" s="3">
        <v>14800</v>
      </c>
      <c r="EU163" s="211">
        <v>0</v>
      </c>
      <c r="EV163" s="183">
        <v>10000</v>
      </c>
      <c r="EW163" s="183">
        <v>0</v>
      </c>
      <c r="EX163" s="130">
        <v>20000</v>
      </c>
      <c r="EY163" s="183">
        <v>0</v>
      </c>
      <c r="EZ163" s="3">
        <v>92335</v>
      </c>
      <c r="FA163" s="3">
        <v>81600</v>
      </c>
      <c r="FB163" s="3">
        <v>10735</v>
      </c>
      <c r="FC163" s="3">
        <v>12613</v>
      </c>
      <c r="FD163" s="226">
        <v>91600</v>
      </c>
      <c r="FE163" s="183">
        <v>81664</v>
      </c>
      <c r="FF163" s="183">
        <v>9936</v>
      </c>
      <c r="FG163" s="183">
        <v>11748</v>
      </c>
      <c r="FH163" s="230">
        <v>101665</v>
      </c>
      <c r="FI163" s="130">
        <v>89979</v>
      </c>
      <c r="FJ163" s="130">
        <v>11686</v>
      </c>
      <c r="FK163" s="130">
        <v>10896</v>
      </c>
      <c r="FL163" s="29">
        <v>4302.5919408238142</v>
      </c>
      <c r="FM163" s="139">
        <v>4417.9610362816475</v>
      </c>
      <c r="FN163" s="139">
        <v>4734.7720153150021</v>
      </c>
      <c r="FO163" s="172">
        <f t="shared" si="6"/>
        <v>6200.4285714285716</v>
      </c>
      <c r="FP163" s="170">
        <f t="shared" si="7"/>
        <v>179.84767871645698</v>
      </c>
      <c r="FR163" s="175"/>
      <c r="FS163" s="195"/>
      <c r="FV163" s="175">
        <v>8256</v>
      </c>
      <c r="FW163" s="2">
        <f t="shared" si="8"/>
        <v>-8256</v>
      </c>
      <c r="FZ163" s="186"/>
      <c r="GA163" s="2"/>
      <c r="GB163" s="2"/>
    </row>
    <row r="164" spans="1:184" ht="13" x14ac:dyDescent="0.3">
      <c r="A164" s="77">
        <v>538</v>
      </c>
      <c r="B164" s="75" t="s">
        <v>160</v>
      </c>
      <c r="C164" s="179">
        <v>4733</v>
      </c>
      <c r="D164" s="138"/>
      <c r="E164" s="142">
        <v>0.46300715990453462</v>
      </c>
      <c r="F164" s="142">
        <v>41.462818857521725</v>
      </c>
      <c r="G164" s="183">
        <v>-2384.7454046059584</v>
      </c>
      <c r="H164" s="144"/>
      <c r="I164" s="186"/>
      <c r="K164" s="210">
        <v>55.319542611849165</v>
      </c>
      <c r="L164" s="143">
        <v>0.8451299387280794</v>
      </c>
      <c r="M164" s="146">
        <v>4.6880518896702306E-2</v>
      </c>
      <c r="N164" s="143">
        <v>6579.9704204521449</v>
      </c>
      <c r="O164" s="138">
        <v>8662</v>
      </c>
      <c r="P164" s="143">
        <v>2182</v>
      </c>
      <c r="Q164" s="184">
        <v>27865</v>
      </c>
      <c r="R164" s="184">
        <v>-25683</v>
      </c>
      <c r="S164" s="139">
        <v>17786</v>
      </c>
      <c r="T164" s="138">
        <v>8704</v>
      </c>
      <c r="U164" s="151"/>
      <c r="W164" s="183">
        <v>-44</v>
      </c>
      <c r="X164" s="183">
        <v>-48</v>
      </c>
      <c r="Y164" s="184">
        <v>715</v>
      </c>
      <c r="Z164" s="130">
        <v>1610</v>
      </c>
      <c r="AA164" s="131">
        <v>0</v>
      </c>
      <c r="AB164" s="130">
        <v>0</v>
      </c>
      <c r="AC164" s="184">
        <v>-895</v>
      </c>
      <c r="AD164" s="184">
        <v>193</v>
      </c>
      <c r="AE164" s="183">
        <v>0</v>
      </c>
      <c r="AF164" s="183">
        <v>0</v>
      </c>
      <c r="AG164" s="183">
        <v>-702</v>
      </c>
      <c r="AH164" s="183">
        <v>1554</v>
      </c>
      <c r="AI164" s="183">
        <v>705</v>
      </c>
      <c r="AJ164" s="167"/>
      <c r="AK164" s="183">
        <v>626</v>
      </c>
      <c r="AL164" s="183">
        <v>-1615</v>
      </c>
      <c r="AM164" s="180">
        <v>-434</v>
      </c>
      <c r="AN164" s="139">
        <v>17786</v>
      </c>
      <c r="AO164" s="138">
        <v>16500</v>
      </c>
      <c r="AP164" s="184">
        <v>428</v>
      </c>
      <c r="AQ164" s="138">
        <v>858</v>
      </c>
      <c r="AR164" s="109">
        <v>21.5</v>
      </c>
      <c r="AS164" s="144"/>
      <c r="AT164" s="139">
        <v>196</v>
      </c>
      <c r="AU164" s="228">
        <v>4715</v>
      </c>
      <c r="AV164" s="138"/>
      <c r="AW164" s="224">
        <v>-0.26638566912539513</v>
      </c>
      <c r="AX164" s="225">
        <v>55.312598397648955</v>
      </c>
      <c r="AY164" s="139">
        <v>-3084.8356309650053</v>
      </c>
      <c r="AZ164" s="144"/>
      <c r="BA164"/>
      <c r="BC164" s="189">
        <v>45.519566772248901</v>
      </c>
      <c r="BD164" s="183">
        <v>115.80063626723224</v>
      </c>
      <c r="BE164" s="140">
        <v>5.8956305653344376</v>
      </c>
      <c r="BF164" s="139">
        <v>7169.2470837751853</v>
      </c>
      <c r="BG164" s="184">
        <v>9206</v>
      </c>
      <c r="BH164" s="216">
        <v>2256</v>
      </c>
      <c r="BI164" s="216">
        <v>29123</v>
      </c>
      <c r="BJ164" s="216">
        <v>-26771</v>
      </c>
      <c r="BK164" s="216">
        <v>17507</v>
      </c>
      <c r="BL164" s="216">
        <v>8820</v>
      </c>
      <c r="BM164" s="151"/>
      <c r="BO164" s="216">
        <v>-36</v>
      </c>
      <c r="BP164" s="216">
        <v>-49</v>
      </c>
      <c r="BQ164" s="216">
        <v>-529</v>
      </c>
      <c r="BR164" s="216">
        <v>1054</v>
      </c>
      <c r="BS164" s="216">
        <v>0</v>
      </c>
      <c r="BT164" s="216">
        <v>0</v>
      </c>
      <c r="BU164" s="216">
        <v>-1583</v>
      </c>
      <c r="BV164" s="184">
        <v>101</v>
      </c>
      <c r="BW164" s="183">
        <v>0</v>
      </c>
      <c r="BX164" s="183">
        <v>0</v>
      </c>
      <c r="BY164" s="183">
        <v>-1482</v>
      </c>
      <c r="BZ164" s="183">
        <v>71</v>
      </c>
      <c r="CA164" s="183">
        <v>-618</v>
      </c>
      <c r="CB164" s="167"/>
      <c r="CC164" s="183">
        <v>-128</v>
      </c>
      <c r="CD164" s="183">
        <v>-1493</v>
      </c>
      <c r="CE164" s="180">
        <v>-3440</v>
      </c>
      <c r="CF164" s="139">
        <v>17507</v>
      </c>
      <c r="CG164" s="216">
        <v>16220</v>
      </c>
      <c r="CH164" s="216">
        <v>414</v>
      </c>
      <c r="CI164" s="216">
        <v>873</v>
      </c>
      <c r="CJ164" s="212">
        <v>21.5</v>
      </c>
      <c r="CK164" s="144"/>
      <c r="CL164" s="130">
        <v>263</v>
      </c>
      <c r="CM164" s="228">
        <v>4693</v>
      </c>
      <c r="CN164" s="138"/>
      <c r="CO164" s="142">
        <v>3.4834324553950724</v>
      </c>
      <c r="CP164" s="142">
        <v>62.949129522163233</v>
      </c>
      <c r="CQ164" s="183">
        <v>-3972.0860856594927</v>
      </c>
      <c r="CR164" s="144"/>
      <c r="CS164"/>
      <c r="CU164" s="232">
        <v>43.471285621057213</v>
      </c>
      <c r="CV164" s="143">
        <v>114.42574046452162</v>
      </c>
      <c r="CW164" s="146">
        <v>5.1365339762572395</v>
      </c>
      <c r="CX164" s="143">
        <v>8131.0462390794801</v>
      </c>
      <c r="CY164" s="131">
        <v>8952</v>
      </c>
      <c r="CZ164" s="229">
        <v>2172</v>
      </c>
      <c r="DA164" s="229">
        <v>28329</v>
      </c>
      <c r="DB164" s="216">
        <v>-26157</v>
      </c>
      <c r="DC164" s="229">
        <v>18469</v>
      </c>
      <c r="DD164" s="229">
        <v>11820</v>
      </c>
      <c r="DE164" s="151"/>
      <c r="DG164" s="229">
        <v>-27</v>
      </c>
      <c r="DH164" s="229">
        <v>-50</v>
      </c>
      <c r="DI164" s="229">
        <v>4055</v>
      </c>
      <c r="DJ164" s="229">
        <v>1433</v>
      </c>
      <c r="DK164" s="229">
        <v>0</v>
      </c>
      <c r="DL164" s="229">
        <v>0</v>
      </c>
      <c r="DM164" s="229">
        <v>2622</v>
      </c>
      <c r="DN164" s="131">
        <v>25</v>
      </c>
      <c r="DO164" s="130">
        <v>0</v>
      </c>
      <c r="DP164" s="130">
        <v>0</v>
      </c>
      <c r="DQ164" s="130">
        <v>2647</v>
      </c>
      <c r="DR164" s="130">
        <v>2718</v>
      </c>
      <c r="DS164" s="130">
        <v>3948</v>
      </c>
      <c r="DT164" s="167"/>
      <c r="DU164" s="183">
        <v>-496</v>
      </c>
      <c r="DV164" s="183">
        <v>-1132</v>
      </c>
      <c r="DW164" s="180">
        <v>-4206</v>
      </c>
      <c r="DX164" s="130">
        <v>18469</v>
      </c>
      <c r="DY164" s="229">
        <v>17312</v>
      </c>
      <c r="DZ164" s="229">
        <v>369</v>
      </c>
      <c r="EA164" s="229">
        <v>788</v>
      </c>
      <c r="EB164" s="212">
        <v>21.5</v>
      </c>
      <c r="EC164" s="208"/>
      <c r="ED164" s="183">
        <v>66.110294117647101</v>
      </c>
      <c r="EE164" s="3">
        <v>17047</v>
      </c>
      <c r="EF164" s="183">
        <v>17766</v>
      </c>
      <c r="EG164" s="130">
        <v>17347</v>
      </c>
      <c r="EH164" s="130"/>
      <c r="EI164" s="130"/>
      <c r="EJ164" s="130">
        <v>650</v>
      </c>
      <c r="EK164" s="183">
        <v>-1152</v>
      </c>
      <c r="EL164" s="183">
        <v>0</v>
      </c>
      <c r="EM164" s="183">
        <v>13</v>
      </c>
      <c r="EN164" s="226">
        <v>-3163</v>
      </c>
      <c r="EO164" s="226">
        <v>225</v>
      </c>
      <c r="EP164" s="226">
        <v>116</v>
      </c>
      <c r="EQ164" s="226">
        <v>-8650</v>
      </c>
      <c r="ER164" s="230">
        <v>375</v>
      </c>
      <c r="ES164" s="230">
        <v>121</v>
      </c>
      <c r="ET164" s="3">
        <v>1562</v>
      </c>
      <c r="EU164" s="211">
        <v>100</v>
      </c>
      <c r="EV164" s="183">
        <v>0</v>
      </c>
      <c r="EW164" s="183">
        <v>4800</v>
      </c>
      <c r="EX164" s="130">
        <v>5000</v>
      </c>
      <c r="EY164" s="183">
        <v>200</v>
      </c>
      <c r="EZ164" s="3">
        <v>8980</v>
      </c>
      <c r="FA164" s="3">
        <v>7048</v>
      </c>
      <c r="FB164" s="3">
        <v>1932</v>
      </c>
      <c r="FC164" s="3">
        <v>1050</v>
      </c>
      <c r="FD164" s="226">
        <v>12287</v>
      </c>
      <c r="FE164" s="183">
        <v>5605</v>
      </c>
      <c r="FF164" s="183">
        <v>6682</v>
      </c>
      <c r="FG164" s="183">
        <v>1023</v>
      </c>
      <c r="FH164" s="230">
        <v>16355</v>
      </c>
      <c r="FI164" s="130">
        <v>8973</v>
      </c>
      <c r="FJ164" s="130">
        <v>7382</v>
      </c>
      <c r="FK164" s="130">
        <v>995</v>
      </c>
      <c r="FL164" s="29">
        <v>2305.5144728502009</v>
      </c>
      <c r="FM164" s="139">
        <v>3029.9045599151641</v>
      </c>
      <c r="FN164" s="139">
        <v>3829.5333475388875</v>
      </c>
      <c r="FO164" s="172">
        <f t="shared" si="6"/>
        <v>805.20930232558135</v>
      </c>
      <c r="FP164" s="170">
        <f t="shared" si="7"/>
        <v>171.57666787248695</v>
      </c>
      <c r="FR164" s="175"/>
      <c r="FS164" s="195"/>
      <c r="FV164" s="175">
        <v>775</v>
      </c>
      <c r="FW164" s="2">
        <f t="shared" si="8"/>
        <v>-775</v>
      </c>
      <c r="FZ164" s="186"/>
      <c r="GA164" s="2"/>
      <c r="GB164" s="2"/>
    </row>
    <row r="165" spans="1:184" ht="13" x14ac:dyDescent="0.3">
      <c r="A165" s="77">
        <v>541</v>
      </c>
      <c r="B165" s="75" t="s">
        <v>161</v>
      </c>
      <c r="C165" s="179">
        <v>7641</v>
      </c>
      <c r="D165" s="138"/>
      <c r="E165" s="142">
        <v>2.8380140421263791</v>
      </c>
      <c r="F165" s="142">
        <v>22.192615150361629</v>
      </c>
      <c r="G165" s="183">
        <v>-1097.7620730270908</v>
      </c>
      <c r="H165" s="144"/>
      <c r="I165" s="186"/>
      <c r="K165" s="210">
        <v>76.289622494682419</v>
      </c>
      <c r="L165" s="143">
        <v>193.56105221829603</v>
      </c>
      <c r="M165" s="146">
        <v>8.3215408805031448</v>
      </c>
      <c r="N165" s="143">
        <v>8489.9882214369845</v>
      </c>
      <c r="O165" s="138">
        <v>13174</v>
      </c>
      <c r="P165" s="143">
        <v>7088</v>
      </c>
      <c r="Q165" s="184">
        <v>55183</v>
      </c>
      <c r="R165" s="184">
        <v>-48095</v>
      </c>
      <c r="S165" s="139">
        <v>23619</v>
      </c>
      <c r="T165" s="138">
        <v>29748</v>
      </c>
      <c r="U165" s="151"/>
      <c r="W165" s="183">
        <v>-45</v>
      </c>
      <c r="X165" s="183">
        <v>333</v>
      </c>
      <c r="Y165" s="184">
        <v>5560</v>
      </c>
      <c r="Z165" s="130">
        <v>3651</v>
      </c>
      <c r="AA165" s="131">
        <v>0</v>
      </c>
      <c r="AB165" s="130">
        <v>8</v>
      </c>
      <c r="AC165" s="184">
        <v>1901</v>
      </c>
      <c r="AD165" s="184">
        <v>-1503</v>
      </c>
      <c r="AE165" s="184">
        <v>1250</v>
      </c>
      <c r="AF165" s="183">
        <v>-36</v>
      </c>
      <c r="AG165" s="183">
        <v>1612</v>
      </c>
      <c r="AH165" s="183">
        <v>9919</v>
      </c>
      <c r="AI165" s="183">
        <v>5483</v>
      </c>
      <c r="AJ165" s="167"/>
      <c r="AK165" s="183">
        <v>-486</v>
      </c>
      <c r="AL165" s="183">
        <v>-1895</v>
      </c>
      <c r="AM165" s="180">
        <v>-1108</v>
      </c>
      <c r="AN165" s="139">
        <v>23619</v>
      </c>
      <c r="AO165" s="138">
        <v>19247</v>
      </c>
      <c r="AP165" s="184">
        <v>2691</v>
      </c>
      <c r="AQ165" s="138">
        <v>1681</v>
      </c>
      <c r="AR165" s="109">
        <v>20.5</v>
      </c>
      <c r="AS165" s="144"/>
      <c r="AT165" s="139">
        <v>10</v>
      </c>
      <c r="AU165" s="228">
        <v>7455</v>
      </c>
      <c r="AV165" s="138"/>
      <c r="AW165" s="224">
        <v>1.8034116511103959</v>
      </c>
      <c r="AX165" s="225">
        <v>29.658744566394084</v>
      </c>
      <c r="AY165" s="139">
        <v>-1597.8537894030851</v>
      </c>
      <c r="AZ165" s="144"/>
      <c r="BA165"/>
      <c r="BC165" s="189">
        <v>70.800995753404592</v>
      </c>
      <c r="BD165" s="183">
        <v>182.96445338698859</v>
      </c>
      <c r="BE165" s="140">
        <v>7.4750386619221354</v>
      </c>
      <c r="BF165" s="139">
        <v>8934.0040241448696</v>
      </c>
      <c r="BG165" s="184">
        <v>13741</v>
      </c>
      <c r="BH165" s="216">
        <v>6767</v>
      </c>
      <c r="BI165" s="216">
        <v>56955</v>
      </c>
      <c r="BJ165" s="216">
        <v>-50155</v>
      </c>
      <c r="BK165" s="216">
        <v>24024</v>
      </c>
      <c r="BL165" s="216">
        <v>29252</v>
      </c>
      <c r="BM165" s="151"/>
      <c r="BO165" s="216">
        <v>-31</v>
      </c>
      <c r="BP165" s="216">
        <v>322</v>
      </c>
      <c r="BQ165" s="216">
        <v>3412</v>
      </c>
      <c r="BR165" s="216">
        <v>4011</v>
      </c>
      <c r="BS165" s="216">
        <v>0</v>
      </c>
      <c r="BT165" s="216">
        <v>0</v>
      </c>
      <c r="BU165" s="216">
        <v>-599</v>
      </c>
      <c r="BV165" s="184">
        <v>26</v>
      </c>
      <c r="BW165" s="184">
        <v>500</v>
      </c>
      <c r="BX165" s="183">
        <v>-36</v>
      </c>
      <c r="BY165" s="183">
        <v>-109</v>
      </c>
      <c r="BZ165" s="183">
        <v>9809</v>
      </c>
      <c r="CA165" s="183">
        <v>3410</v>
      </c>
      <c r="CB165" s="167"/>
      <c r="CC165" s="183">
        <v>-990</v>
      </c>
      <c r="CD165" s="183">
        <v>-2405</v>
      </c>
      <c r="CE165" s="180">
        <v>-3447</v>
      </c>
      <c r="CF165" s="139">
        <v>24024</v>
      </c>
      <c r="CG165" s="216">
        <v>19850</v>
      </c>
      <c r="CH165" s="216">
        <v>2472</v>
      </c>
      <c r="CI165" s="216">
        <v>1702</v>
      </c>
      <c r="CJ165" s="212">
        <v>20.5</v>
      </c>
      <c r="CK165" s="144"/>
      <c r="CL165" s="130">
        <v>40</v>
      </c>
      <c r="CM165" s="228">
        <v>9501</v>
      </c>
      <c r="CN165" s="138"/>
      <c r="CO165" s="142">
        <v>2.7717614804660728</v>
      </c>
      <c r="CP165" s="142">
        <v>24.079998104310324</v>
      </c>
      <c r="CQ165" s="183">
        <v>-777.60235764656352</v>
      </c>
      <c r="CR165" s="144"/>
      <c r="CS165"/>
      <c r="CU165" s="232">
        <v>74.048243879641944</v>
      </c>
      <c r="CV165" s="143">
        <v>345.01631407220293</v>
      </c>
      <c r="CW165" s="146">
        <v>13.753793452271474</v>
      </c>
      <c r="CX165" s="143">
        <v>9156.0888327544471</v>
      </c>
      <c r="CY165" s="131">
        <v>18467</v>
      </c>
      <c r="CZ165" s="229">
        <v>11240</v>
      </c>
      <c r="DA165" s="229">
        <v>76978</v>
      </c>
      <c r="DB165" s="216">
        <v>-65738</v>
      </c>
      <c r="DC165" s="229">
        <v>29858</v>
      </c>
      <c r="DD165" s="229">
        <v>43339</v>
      </c>
      <c r="DE165" s="151"/>
      <c r="DG165" s="229">
        <v>27</v>
      </c>
      <c r="DH165" s="229">
        <v>476</v>
      </c>
      <c r="DI165" s="229">
        <v>7962</v>
      </c>
      <c r="DJ165" s="229">
        <v>5311</v>
      </c>
      <c r="DK165" s="229">
        <v>0</v>
      </c>
      <c r="DL165" s="229">
        <v>0</v>
      </c>
      <c r="DM165" s="229">
        <v>2651</v>
      </c>
      <c r="DN165" s="131">
        <v>877</v>
      </c>
      <c r="DO165" s="131">
        <v>-1000</v>
      </c>
      <c r="DP165" s="130">
        <v>-36</v>
      </c>
      <c r="DQ165" s="130">
        <v>2492</v>
      </c>
      <c r="DR165" s="130">
        <v>14823</v>
      </c>
      <c r="DS165" s="130">
        <v>9259</v>
      </c>
      <c r="DT165" s="167"/>
      <c r="DU165" s="183">
        <v>-2807</v>
      </c>
      <c r="DV165" s="183">
        <v>-2792</v>
      </c>
      <c r="DW165" s="180">
        <v>6122</v>
      </c>
      <c r="DX165" s="130">
        <v>29858</v>
      </c>
      <c r="DY165" s="229">
        <v>24487</v>
      </c>
      <c r="DZ165" s="229">
        <v>3458</v>
      </c>
      <c r="EA165" s="229">
        <v>1913</v>
      </c>
      <c r="EB165" s="212">
        <v>20.5</v>
      </c>
      <c r="EC165" s="208"/>
      <c r="ED165" s="183">
        <v>75.176470588235304</v>
      </c>
      <c r="EE165" s="3">
        <v>36929</v>
      </c>
      <c r="EF165" s="183">
        <v>38263</v>
      </c>
      <c r="EG165" s="130">
        <v>51664</v>
      </c>
      <c r="EH165" s="130"/>
      <c r="EI165" s="130"/>
      <c r="EJ165" s="130"/>
      <c r="EK165" s="183">
        <v>-7684</v>
      </c>
      <c r="EL165" s="183">
        <v>1019</v>
      </c>
      <c r="EM165" s="183">
        <v>74</v>
      </c>
      <c r="EN165" s="226">
        <v>-7109</v>
      </c>
      <c r="EO165" s="226">
        <v>250</v>
      </c>
      <c r="EP165" s="226">
        <v>2</v>
      </c>
      <c r="EQ165" s="226">
        <v>-7085</v>
      </c>
      <c r="ER165" s="230">
        <v>111</v>
      </c>
      <c r="ES165" s="230">
        <v>3837</v>
      </c>
      <c r="ET165" s="3">
        <v>2000</v>
      </c>
      <c r="EU165" s="211">
        <v>0</v>
      </c>
      <c r="EV165" s="183">
        <v>4000</v>
      </c>
      <c r="EW165" s="183">
        <v>2000</v>
      </c>
      <c r="EX165" s="130">
        <v>1140</v>
      </c>
      <c r="EY165" s="183">
        <v>-1340</v>
      </c>
      <c r="EZ165" s="3">
        <v>9560</v>
      </c>
      <c r="FA165" s="3">
        <v>7465</v>
      </c>
      <c r="FB165" s="3">
        <v>2095</v>
      </c>
      <c r="FC165" s="3">
        <v>351</v>
      </c>
      <c r="FD165" s="226">
        <v>13155</v>
      </c>
      <c r="FE165" s="183">
        <v>8685</v>
      </c>
      <c r="FF165" s="183">
        <v>4470</v>
      </c>
      <c r="FG165" s="183">
        <v>351</v>
      </c>
      <c r="FH165" s="230">
        <v>14524</v>
      </c>
      <c r="FI165" s="130">
        <v>11783</v>
      </c>
      <c r="FJ165" s="130">
        <v>2741</v>
      </c>
      <c r="FK165" s="130">
        <v>351</v>
      </c>
      <c r="FL165" s="29">
        <v>2523.0990708022509</v>
      </c>
      <c r="FM165" s="139">
        <v>3403.4875922199867</v>
      </c>
      <c r="FN165" s="139">
        <v>3377.4339543205979</v>
      </c>
      <c r="FO165" s="172">
        <f t="shared" si="6"/>
        <v>1194.4878048780488</v>
      </c>
      <c r="FP165" s="170">
        <f t="shared" si="7"/>
        <v>125.72232447932311</v>
      </c>
      <c r="FR165" s="175"/>
      <c r="FS165" s="195"/>
      <c r="FV165" s="175">
        <v>1157</v>
      </c>
      <c r="FW165" s="2">
        <f t="shared" si="8"/>
        <v>-1157</v>
      </c>
      <c r="FZ165" s="186"/>
      <c r="GA165" s="2"/>
      <c r="GB165" s="2"/>
    </row>
    <row r="166" spans="1:184" ht="13" x14ac:dyDescent="0.3">
      <c r="A166" s="77">
        <v>543</v>
      </c>
      <c r="B166" s="75" t="s">
        <v>162</v>
      </c>
      <c r="C166" s="179">
        <v>42665</v>
      </c>
      <c r="D166" s="138"/>
      <c r="E166" s="142">
        <v>0.76</v>
      </c>
      <c r="F166" s="142">
        <v>69.733759989911562</v>
      </c>
      <c r="G166" s="183">
        <v>-4343.9353099730452</v>
      </c>
      <c r="H166" s="144"/>
      <c r="I166" s="186"/>
      <c r="K166" s="210">
        <v>37.753564739497179</v>
      </c>
      <c r="L166" s="143">
        <v>527.0596507676081</v>
      </c>
      <c r="M166" s="146">
        <v>23.295513890308005</v>
      </c>
      <c r="N166" s="143">
        <v>8258.1038321809447</v>
      </c>
      <c r="O166" s="138">
        <v>101529</v>
      </c>
      <c r="P166" s="143">
        <v>103905</v>
      </c>
      <c r="Q166" s="184">
        <v>311347</v>
      </c>
      <c r="R166" s="184">
        <v>-207442</v>
      </c>
      <c r="S166" s="139">
        <v>183173</v>
      </c>
      <c r="T166" s="138">
        <v>30117</v>
      </c>
      <c r="U166" s="151"/>
      <c r="W166" s="183">
        <v>-1250</v>
      </c>
      <c r="X166" s="183">
        <v>2150</v>
      </c>
      <c r="Y166" s="184">
        <v>6748</v>
      </c>
      <c r="Z166" s="130">
        <v>18854</v>
      </c>
      <c r="AA166" s="130">
        <v>0</v>
      </c>
      <c r="AB166" s="130">
        <v>0</v>
      </c>
      <c r="AC166" s="184">
        <v>-12106</v>
      </c>
      <c r="AD166" s="184">
        <v>12</v>
      </c>
      <c r="AE166" s="183">
        <v>0</v>
      </c>
      <c r="AF166" s="183">
        <v>0</v>
      </c>
      <c r="AG166" s="183">
        <v>-12094</v>
      </c>
      <c r="AH166" s="183">
        <v>53564</v>
      </c>
      <c r="AI166" s="183">
        <v>6165</v>
      </c>
      <c r="AJ166" s="167"/>
      <c r="AK166" s="183">
        <v>2346</v>
      </c>
      <c r="AL166" s="183">
        <v>-9274</v>
      </c>
      <c r="AM166" s="180">
        <v>-20252</v>
      </c>
      <c r="AN166" s="139">
        <v>183173</v>
      </c>
      <c r="AO166" s="138">
        <v>166166</v>
      </c>
      <c r="AP166" s="184">
        <v>7631</v>
      </c>
      <c r="AQ166" s="138">
        <v>9376</v>
      </c>
      <c r="AR166" s="109">
        <v>19.5</v>
      </c>
      <c r="AS166" s="144"/>
      <c r="AT166" s="139">
        <v>192</v>
      </c>
      <c r="AU166" s="228">
        <v>42993</v>
      </c>
      <c r="AV166" s="138"/>
      <c r="AW166" s="224">
        <v>0.10715071816270237</v>
      </c>
      <c r="AX166" s="225">
        <v>98.61159853470609</v>
      </c>
      <c r="AY166" s="139">
        <v>-4997.464703556393</v>
      </c>
      <c r="AZ166" s="144"/>
      <c r="BA166"/>
      <c r="BC166" s="189">
        <v>32.237874154241076</v>
      </c>
      <c r="BD166" s="183">
        <v>605.98236922289675</v>
      </c>
      <c r="BE166" s="140">
        <v>31.635599986692839</v>
      </c>
      <c r="BF166" s="139">
        <v>6991.6032842555769</v>
      </c>
      <c r="BG166" s="184">
        <v>74254</v>
      </c>
      <c r="BH166" s="216">
        <v>31579</v>
      </c>
      <c r="BI166" s="216">
        <v>252638</v>
      </c>
      <c r="BJ166" s="216">
        <v>-221059</v>
      </c>
      <c r="BK166" s="216">
        <v>189728</v>
      </c>
      <c r="BL166" s="216">
        <v>32294</v>
      </c>
      <c r="BM166" s="151"/>
      <c r="BO166" s="216">
        <v>-576</v>
      </c>
      <c r="BP166" s="216">
        <v>1896</v>
      </c>
      <c r="BQ166" s="216">
        <v>2283</v>
      </c>
      <c r="BR166" s="216">
        <v>18033</v>
      </c>
      <c r="BS166" s="216">
        <v>0</v>
      </c>
      <c r="BT166" s="216">
        <v>0</v>
      </c>
      <c r="BU166" s="216">
        <v>-15750</v>
      </c>
      <c r="BV166" s="184">
        <v>12</v>
      </c>
      <c r="BW166" s="183">
        <v>0</v>
      </c>
      <c r="BX166" s="183">
        <v>0</v>
      </c>
      <c r="BY166" s="183">
        <v>-15738</v>
      </c>
      <c r="BZ166" s="183">
        <v>37569</v>
      </c>
      <c r="CA166" s="183">
        <v>-110</v>
      </c>
      <c r="CB166" s="167"/>
      <c r="CC166" s="183">
        <v>4200</v>
      </c>
      <c r="CD166" s="183">
        <v>-10836</v>
      </c>
      <c r="CE166" s="180">
        <v>-30918</v>
      </c>
      <c r="CF166" s="139">
        <v>189728</v>
      </c>
      <c r="CG166" s="216">
        <v>171561</v>
      </c>
      <c r="CH166" s="216">
        <v>8612</v>
      </c>
      <c r="CI166" s="216">
        <v>9555</v>
      </c>
      <c r="CJ166" s="212">
        <v>19.5</v>
      </c>
      <c r="CK166" s="144"/>
      <c r="CL166" s="130">
        <v>213</v>
      </c>
      <c r="CM166" s="228">
        <v>43663</v>
      </c>
      <c r="CN166" s="138"/>
      <c r="CO166" s="142">
        <v>0.58229907217737076</v>
      </c>
      <c r="CP166" s="142">
        <v>88.884870107523867</v>
      </c>
      <c r="CQ166" s="183">
        <v>-5004.8553695348464</v>
      </c>
      <c r="CR166" s="144"/>
      <c r="CS166"/>
      <c r="CU166" s="232">
        <v>33.467996206198251</v>
      </c>
      <c r="CV166" s="143">
        <v>642.48906396720338</v>
      </c>
      <c r="CW166" s="146">
        <v>29.770643802280041</v>
      </c>
      <c r="CX166" s="143">
        <v>7877.1728923802766</v>
      </c>
      <c r="CY166" s="131">
        <v>74823</v>
      </c>
      <c r="CZ166" s="229">
        <v>32445</v>
      </c>
      <c r="DA166" s="229">
        <v>257642</v>
      </c>
      <c r="DB166" s="216">
        <v>-225197</v>
      </c>
      <c r="DC166" s="229">
        <v>200631</v>
      </c>
      <c r="DD166" s="229">
        <v>51698</v>
      </c>
      <c r="DE166" s="151"/>
      <c r="DG166" s="229">
        <v>-571</v>
      </c>
      <c r="DH166" s="229">
        <v>1863</v>
      </c>
      <c r="DI166" s="229">
        <v>28424</v>
      </c>
      <c r="DJ166" s="229">
        <v>20710</v>
      </c>
      <c r="DK166" s="229">
        <v>0</v>
      </c>
      <c r="DL166" s="229">
        <v>0</v>
      </c>
      <c r="DM166" s="229">
        <v>7714</v>
      </c>
      <c r="DN166" s="131">
        <v>12</v>
      </c>
      <c r="DO166" s="130">
        <v>-6000</v>
      </c>
      <c r="DP166" s="130">
        <v>0</v>
      </c>
      <c r="DQ166" s="130">
        <v>1726</v>
      </c>
      <c r="DR166" s="130">
        <v>40073</v>
      </c>
      <c r="DS166" s="130">
        <v>26956</v>
      </c>
      <c r="DT166" s="167"/>
      <c r="DU166" s="183">
        <v>2629</v>
      </c>
      <c r="DV166" s="183">
        <v>-49223</v>
      </c>
      <c r="DW166" s="180">
        <v>-6077</v>
      </c>
      <c r="DX166" s="130">
        <v>200631</v>
      </c>
      <c r="DY166" s="229">
        <v>180605</v>
      </c>
      <c r="DZ166" s="229">
        <v>9254</v>
      </c>
      <c r="EA166" s="229">
        <v>10772</v>
      </c>
      <c r="EB166" s="212">
        <v>19.75</v>
      </c>
      <c r="EC166" s="208"/>
      <c r="ED166" s="183">
        <v>158.78676470588201</v>
      </c>
      <c r="EE166" s="3">
        <v>174412</v>
      </c>
      <c r="EF166" s="183">
        <v>152561</v>
      </c>
      <c r="EG166" s="130">
        <v>155496</v>
      </c>
      <c r="EH166" s="130"/>
      <c r="EI166" s="130"/>
      <c r="EJ166" s="130"/>
      <c r="EK166" s="183">
        <v>-29992</v>
      </c>
      <c r="EL166" s="183">
        <v>995</v>
      </c>
      <c r="EM166" s="183">
        <v>2580</v>
      </c>
      <c r="EN166" s="226">
        <v>-35743</v>
      </c>
      <c r="EO166" s="226">
        <v>600</v>
      </c>
      <c r="EP166" s="226">
        <v>4335</v>
      </c>
      <c r="EQ166" s="226">
        <v>-35856</v>
      </c>
      <c r="ER166" s="230">
        <v>858</v>
      </c>
      <c r="ES166" s="230">
        <v>1965</v>
      </c>
      <c r="ET166" s="3">
        <v>25000</v>
      </c>
      <c r="EU166" s="211">
        <v>-290</v>
      </c>
      <c r="EV166" s="183">
        <v>30000</v>
      </c>
      <c r="EW166" s="183">
        <v>11116</v>
      </c>
      <c r="EX166" s="130">
        <v>50000</v>
      </c>
      <c r="EY166" s="183">
        <v>6416</v>
      </c>
      <c r="EZ166" s="3">
        <v>169248</v>
      </c>
      <c r="FA166" s="3">
        <v>118323</v>
      </c>
      <c r="FB166" s="3">
        <v>50925</v>
      </c>
      <c r="FC166" s="3">
        <v>17030</v>
      </c>
      <c r="FD166" s="226">
        <v>199528</v>
      </c>
      <c r="FE166" s="183">
        <v>99189</v>
      </c>
      <c r="FF166" s="183">
        <v>100339</v>
      </c>
      <c r="FG166" s="183">
        <v>16598</v>
      </c>
      <c r="FH166" s="230">
        <v>206720</v>
      </c>
      <c r="FI166" s="130">
        <v>101555</v>
      </c>
      <c r="FJ166" s="130">
        <v>105165</v>
      </c>
      <c r="FK166" s="130">
        <v>16598</v>
      </c>
      <c r="FL166" s="29">
        <v>6209.7972577053788</v>
      </c>
      <c r="FM166" s="139">
        <v>7462.7497499592964</v>
      </c>
      <c r="FN166" s="139">
        <v>7408.1487758514077</v>
      </c>
      <c r="FO166" s="172">
        <f t="shared" si="6"/>
        <v>9144.5569620253173</v>
      </c>
      <c r="FP166" s="170">
        <f t="shared" si="7"/>
        <v>209.43492114663027</v>
      </c>
      <c r="FR166" s="175"/>
      <c r="FS166" s="195"/>
      <c r="FV166" s="175">
        <v>9170</v>
      </c>
      <c r="FW166" s="2">
        <f t="shared" si="8"/>
        <v>-9170</v>
      </c>
      <c r="FZ166" s="186"/>
      <c r="GA166" s="2"/>
      <c r="GB166" s="2"/>
    </row>
    <row r="167" spans="1:184" ht="13" x14ac:dyDescent="0.3">
      <c r="A167" s="77">
        <v>545</v>
      </c>
      <c r="B167" s="75" t="s">
        <v>163</v>
      </c>
      <c r="C167" s="179">
        <v>9471</v>
      </c>
      <c r="D167" s="138"/>
      <c r="E167" s="142">
        <v>1.6925207756232687</v>
      </c>
      <c r="F167" s="142">
        <v>50.378892557415675</v>
      </c>
      <c r="G167" s="183">
        <v>-1178.1226903178124</v>
      </c>
      <c r="H167" s="144"/>
      <c r="I167" s="186"/>
      <c r="K167" s="210">
        <v>57.739710789766406</v>
      </c>
      <c r="L167" s="143">
        <v>2084.7851335656214</v>
      </c>
      <c r="M167" s="146">
        <v>90.964368657545307</v>
      </c>
      <c r="N167" s="143">
        <v>8365.3257311793895</v>
      </c>
      <c r="O167" s="138">
        <v>33865</v>
      </c>
      <c r="P167" s="143">
        <v>8918</v>
      </c>
      <c r="Q167" s="184">
        <v>64488</v>
      </c>
      <c r="R167" s="184">
        <v>-55570</v>
      </c>
      <c r="S167" s="139">
        <v>30586</v>
      </c>
      <c r="T167" s="138">
        <v>29249</v>
      </c>
      <c r="U167" s="151"/>
      <c r="W167" s="183">
        <v>-13</v>
      </c>
      <c r="X167" s="183">
        <v>450</v>
      </c>
      <c r="Y167" s="184">
        <v>4702</v>
      </c>
      <c r="Z167" s="130">
        <v>2978</v>
      </c>
      <c r="AA167" s="130">
        <v>0</v>
      </c>
      <c r="AB167" s="130">
        <v>0</v>
      </c>
      <c r="AC167" s="184">
        <v>1724</v>
      </c>
      <c r="AD167" s="184">
        <v>163</v>
      </c>
      <c r="AE167" s="183">
        <v>0</v>
      </c>
      <c r="AF167" s="183">
        <v>0</v>
      </c>
      <c r="AG167" s="183">
        <v>1887</v>
      </c>
      <c r="AH167" s="183">
        <v>8050</v>
      </c>
      <c r="AI167" s="183">
        <v>4618</v>
      </c>
      <c r="AJ167" s="167"/>
      <c r="AK167" s="183">
        <v>1093</v>
      </c>
      <c r="AL167" s="183">
        <v>-2702</v>
      </c>
      <c r="AM167" s="180">
        <v>-5991</v>
      </c>
      <c r="AN167" s="139">
        <v>30586</v>
      </c>
      <c r="AO167" s="138">
        <v>24902</v>
      </c>
      <c r="AP167" s="184">
        <v>2682</v>
      </c>
      <c r="AQ167" s="138">
        <v>3002</v>
      </c>
      <c r="AR167" s="109">
        <v>21</v>
      </c>
      <c r="AS167" s="144"/>
      <c r="AT167" s="139">
        <v>47</v>
      </c>
      <c r="AU167" s="228">
        <v>9479</v>
      </c>
      <c r="AV167" s="138"/>
      <c r="AW167" s="224">
        <v>1.0368774683284607</v>
      </c>
      <c r="AX167" s="225">
        <v>59.833969225608989</v>
      </c>
      <c r="AY167" s="139">
        <v>-2039.5611351408377</v>
      </c>
      <c r="AZ167" s="144"/>
      <c r="BA167"/>
      <c r="BC167" s="189">
        <v>53.834560781279826</v>
      </c>
      <c r="BD167" s="183">
        <v>1887.4353834792698</v>
      </c>
      <c r="BE167" s="140">
        <v>75.857756868211652</v>
      </c>
      <c r="BF167" s="139">
        <v>9081.6541829306898</v>
      </c>
      <c r="BG167" s="184">
        <v>35576</v>
      </c>
      <c r="BH167" s="216">
        <v>9354</v>
      </c>
      <c r="BI167" s="216">
        <v>67358</v>
      </c>
      <c r="BJ167" s="216">
        <v>-58004</v>
      </c>
      <c r="BK167" s="216">
        <v>31841</v>
      </c>
      <c r="BL167" s="216">
        <v>30358</v>
      </c>
      <c r="BM167" s="151"/>
      <c r="BO167" s="216">
        <v>-50</v>
      </c>
      <c r="BP167" s="216">
        <v>690</v>
      </c>
      <c r="BQ167" s="216">
        <v>4835</v>
      </c>
      <c r="BR167" s="216">
        <v>3161</v>
      </c>
      <c r="BS167" s="216">
        <v>0</v>
      </c>
      <c r="BT167" s="216">
        <v>0</v>
      </c>
      <c r="BU167" s="216">
        <v>1674</v>
      </c>
      <c r="BV167" s="184">
        <v>-2821</v>
      </c>
      <c r="BW167" s="183">
        <v>3000</v>
      </c>
      <c r="BX167" s="183">
        <v>0</v>
      </c>
      <c r="BY167" s="183">
        <v>1853</v>
      </c>
      <c r="BZ167" s="183">
        <v>9903</v>
      </c>
      <c r="CA167" s="183">
        <v>4631</v>
      </c>
      <c r="CB167" s="167"/>
      <c r="CC167" s="183">
        <v>-1855</v>
      </c>
      <c r="CD167" s="183">
        <v>-3210</v>
      </c>
      <c r="CE167" s="180">
        <v>-7999</v>
      </c>
      <c r="CF167" s="139">
        <v>31841</v>
      </c>
      <c r="CG167" s="216">
        <v>26072</v>
      </c>
      <c r="CH167" s="216">
        <v>2644</v>
      </c>
      <c r="CI167" s="216">
        <v>3125</v>
      </c>
      <c r="CJ167" s="212">
        <v>21</v>
      </c>
      <c r="CK167" s="144"/>
      <c r="CL167" s="130">
        <v>29</v>
      </c>
      <c r="CM167" s="228">
        <v>9558</v>
      </c>
      <c r="CN167" s="138"/>
      <c r="CO167" s="142">
        <v>2.831083202511774</v>
      </c>
      <c r="CP167" s="142">
        <v>60.430435738582716</v>
      </c>
      <c r="CQ167" s="183">
        <v>-2217.6187486921949</v>
      </c>
      <c r="CR167" s="144"/>
      <c r="CS167"/>
      <c r="CU167" s="232">
        <v>54.021760159193711</v>
      </c>
      <c r="CV167" s="143">
        <v>1974.1577735928017</v>
      </c>
      <c r="CW167" s="146">
        <v>81.885016883055115</v>
      </c>
      <c r="CX167" s="143">
        <v>8799.7489014438161</v>
      </c>
      <c r="CY167" s="131">
        <v>36629</v>
      </c>
      <c r="CZ167" s="229">
        <v>9505</v>
      </c>
      <c r="DA167" s="229">
        <v>68535</v>
      </c>
      <c r="DB167" s="216">
        <v>-59030</v>
      </c>
      <c r="DC167" s="229">
        <v>32967</v>
      </c>
      <c r="DD167" s="229">
        <v>34845</v>
      </c>
      <c r="DE167" s="151"/>
      <c r="DG167" s="229">
        <v>-46</v>
      </c>
      <c r="DH167" s="229">
        <v>80</v>
      </c>
      <c r="DI167" s="229">
        <v>8816</v>
      </c>
      <c r="DJ167" s="229">
        <v>3759</v>
      </c>
      <c r="DK167" s="229">
        <v>0</v>
      </c>
      <c r="DL167" s="229">
        <v>0</v>
      </c>
      <c r="DM167" s="229">
        <v>5057</v>
      </c>
      <c r="DN167" s="131">
        <v>369</v>
      </c>
      <c r="DO167" s="130">
        <v>-4000</v>
      </c>
      <c r="DP167" s="130">
        <v>0</v>
      </c>
      <c r="DQ167" s="130">
        <v>1426</v>
      </c>
      <c r="DR167" s="130">
        <v>11329</v>
      </c>
      <c r="DS167" s="130">
        <v>8769</v>
      </c>
      <c r="DT167" s="167"/>
      <c r="DU167" s="183">
        <v>-1072</v>
      </c>
      <c r="DV167" s="183">
        <v>-2984</v>
      </c>
      <c r="DW167" s="180">
        <v>-1825</v>
      </c>
      <c r="DX167" s="130">
        <v>32967</v>
      </c>
      <c r="DY167" s="229">
        <v>26814</v>
      </c>
      <c r="DZ167" s="229">
        <v>2970</v>
      </c>
      <c r="EA167" s="229">
        <v>3183</v>
      </c>
      <c r="EB167" s="212">
        <v>21</v>
      </c>
      <c r="EC167" s="208"/>
      <c r="ED167" s="183">
        <v>58.051470588235297</v>
      </c>
      <c r="EE167" s="3">
        <v>22815</v>
      </c>
      <c r="EF167" s="183">
        <v>23592</v>
      </c>
      <c r="EG167" s="130">
        <v>23676</v>
      </c>
      <c r="EH167" s="130"/>
      <c r="EI167" s="130"/>
      <c r="EJ167" s="130"/>
      <c r="EK167" s="183">
        <v>-11472</v>
      </c>
      <c r="EL167" s="183">
        <v>700</v>
      </c>
      <c r="EM167" s="183">
        <v>163</v>
      </c>
      <c r="EN167" s="226">
        <v>-14940</v>
      </c>
      <c r="EO167" s="226">
        <v>2060</v>
      </c>
      <c r="EP167" s="226">
        <v>250</v>
      </c>
      <c r="EQ167" s="226">
        <v>-11959</v>
      </c>
      <c r="ER167" s="230">
        <v>1283</v>
      </c>
      <c r="ES167" s="230">
        <v>82</v>
      </c>
      <c r="ET167" s="3">
        <v>10380</v>
      </c>
      <c r="EU167" s="211">
        <v>-2400</v>
      </c>
      <c r="EV167" s="183">
        <v>8000</v>
      </c>
      <c r="EW167" s="183">
        <v>2800</v>
      </c>
      <c r="EX167" s="130">
        <v>0</v>
      </c>
      <c r="EY167" s="183">
        <v>6200</v>
      </c>
      <c r="EZ167" s="3">
        <v>24910</v>
      </c>
      <c r="FA167" s="3">
        <v>15977</v>
      </c>
      <c r="FB167" s="3">
        <v>8933</v>
      </c>
      <c r="FC167" s="3">
        <v>185</v>
      </c>
      <c r="FD167" s="226">
        <v>32500</v>
      </c>
      <c r="FE167" s="183">
        <v>20716</v>
      </c>
      <c r="FF167" s="183">
        <v>11784</v>
      </c>
      <c r="FG167" s="183">
        <v>152</v>
      </c>
      <c r="FH167" s="230">
        <v>35715</v>
      </c>
      <c r="FI167" s="130">
        <v>18169</v>
      </c>
      <c r="FJ167" s="130">
        <v>17546</v>
      </c>
      <c r="FK167" s="130">
        <v>118</v>
      </c>
      <c r="FL167" s="29">
        <v>5153.7324464153726</v>
      </c>
      <c r="FM167" s="139">
        <v>6176.706403629074</v>
      </c>
      <c r="FN167" s="139">
        <v>6555.764804352375</v>
      </c>
      <c r="FO167" s="172">
        <f t="shared" si="6"/>
        <v>1276.8571428571429</v>
      </c>
      <c r="FP167" s="170">
        <f t="shared" si="7"/>
        <v>133.59041042656864</v>
      </c>
      <c r="FR167" s="175"/>
      <c r="FS167" s="195"/>
      <c r="FV167" s="175">
        <v>1743</v>
      </c>
      <c r="FW167" s="2">
        <f t="shared" si="8"/>
        <v>-1743</v>
      </c>
      <c r="FZ167" s="186"/>
      <c r="GA167" s="2"/>
      <c r="GB167" s="2"/>
    </row>
    <row r="168" spans="1:184" ht="13" x14ac:dyDescent="0.3">
      <c r="A168" s="77">
        <v>560</v>
      </c>
      <c r="B168" s="75" t="s">
        <v>164</v>
      </c>
      <c r="C168" s="179">
        <v>16091</v>
      </c>
      <c r="D168" s="138"/>
      <c r="E168" s="142">
        <v>0.49575316345987175</v>
      </c>
      <c r="F168" s="142">
        <v>56.948772279695874</v>
      </c>
      <c r="G168" s="183">
        <v>-3066.0617736622953</v>
      </c>
      <c r="H168" s="144"/>
      <c r="I168" s="186"/>
      <c r="K168" s="210">
        <v>47.376839120675399</v>
      </c>
      <c r="L168" s="143">
        <v>217.4507488658256</v>
      </c>
      <c r="M168" s="146">
        <v>11.184200155879184</v>
      </c>
      <c r="N168" s="143">
        <v>7096.5757255608723</v>
      </c>
      <c r="O168" s="138">
        <v>25303</v>
      </c>
      <c r="P168" s="143">
        <v>9358</v>
      </c>
      <c r="Q168" s="184">
        <v>95298</v>
      </c>
      <c r="R168" s="184">
        <v>-85940</v>
      </c>
      <c r="S168" s="139">
        <v>55043</v>
      </c>
      <c r="T168" s="138">
        <v>31875</v>
      </c>
      <c r="U168" s="151"/>
      <c r="W168" s="183">
        <v>-185</v>
      </c>
      <c r="X168" s="183">
        <v>1701</v>
      </c>
      <c r="Y168" s="184">
        <v>2494</v>
      </c>
      <c r="Z168" s="130">
        <v>3927</v>
      </c>
      <c r="AA168" s="130">
        <v>0</v>
      </c>
      <c r="AB168" s="130">
        <v>0</v>
      </c>
      <c r="AC168" s="184">
        <v>-1433</v>
      </c>
      <c r="AD168" s="184">
        <v>25</v>
      </c>
      <c r="AE168" s="183">
        <v>0</v>
      </c>
      <c r="AF168" s="183">
        <v>0</v>
      </c>
      <c r="AG168" s="183">
        <v>-1408</v>
      </c>
      <c r="AH168" s="183">
        <v>10642</v>
      </c>
      <c r="AI168" s="183">
        <v>2213</v>
      </c>
      <c r="AJ168" s="167"/>
      <c r="AK168" s="183">
        <v>278</v>
      </c>
      <c r="AL168" s="183">
        <v>-5403</v>
      </c>
      <c r="AM168" s="180">
        <v>-9408</v>
      </c>
      <c r="AN168" s="139">
        <v>55043</v>
      </c>
      <c r="AO168" s="138">
        <v>48357</v>
      </c>
      <c r="AP168" s="184">
        <v>2368</v>
      </c>
      <c r="AQ168" s="138">
        <v>4318</v>
      </c>
      <c r="AR168" s="109">
        <v>20.75</v>
      </c>
      <c r="AS168" s="144"/>
      <c r="AT168" s="139">
        <v>194</v>
      </c>
      <c r="AU168" s="228">
        <v>16003</v>
      </c>
      <c r="AV168" s="138"/>
      <c r="AW168" s="224">
        <v>0.19667649809366233</v>
      </c>
      <c r="AX168" s="225">
        <v>60.35974312827225</v>
      </c>
      <c r="AY168" s="139">
        <v>-3370.0556145722676</v>
      </c>
      <c r="AZ168" s="144"/>
      <c r="BA168"/>
      <c r="BC168" s="189">
        <v>43.944746090397423</v>
      </c>
      <c r="BD168" s="183">
        <v>212.8975817034306</v>
      </c>
      <c r="BE168" s="140">
        <v>10.861975595482457</v>
      </c>
      <c r="BF168" s="139">
        <v>7154.0961069799414</v>
      </c>
      <c r="BG168" s="184">
        <v>26133</v>
      </c>
      <c r="BH168" s="216">
        <v>9715</v>
      </c>
      <c r="BI168" s="216">
        <v>98639</v>
      </c>
      <c r="BJ168" s="216">
        <v>-88924</v>
      </c>
      <c r="BK168" s="216">
        <v>55655</v>
      </c>
      <c r="BL168" s="216">
        <v>32422</v>
      </c>
      <c r="BM168" s="151"/>
      <c r="BO168" s="216">
        <v>-228</v>
      </c>
      <c r="BP168" s="216">
        <v>2050</v>
      </c>
      <c r="BQ168" s="216">
        <v>975</v>
      </c>
      <c r="BR168" s="216">
        <v>4654</v>
      </c>
      <c r="BS168" s="216">
        <v>0</v>
      </c>
      <c r="BT168" s="216">
        <v>0</v>
      </c>
      <c r="BU168" s="216">
        <v>-3679</v>
      </c>
      <c r="BV168" s="184">
        <v>26</v>
      </c>
      <c r="BW168" s="183">
        <v>0</v>
      </c>
      <c r="BX168" s="183">
        <v>0</v>
      </c>
      <c r="BY168" s="183">
        <v>-3653</v>
      </c>
      <c r="BZ168" s="183">
        <v>7176</v>
      </c>
      <c r="CA168" s="183">
        <v>765</v>
      </c>
      <c r="CB168" s="167"/>
      <c r="CC168" s="183">
        <v>304</v>
      </c>
      <c r="CD168" s="183">
        <v>-5764</v>
      </c>
      <c r="CE168" s="180">
        <v>-5341</v>
      </c>
      <c r="CF168" s="139">
        <v>55655</v>
      </c>
      <c r="CG168" s="216">
        <v>48664</v>
      </c>
      <c r="CH168" s="216">
        <v>2343</v>
      </c>
      <c r="CI168" s="216">
        <v>4648</v>
      </c>
      <c r="CJ168" s="212">
        <v>20.75</v>
      </c>
      <c r="CK168" s="144"/>
      <c r="CL168" s="130">
        <v>206</v>
      </c>
      <c r="CM168" s="228">
        <v>15882</v>
      </c>
      <c r="CN168" s="138"/>
      <c r="CO168" s="142">
        <v>1.8416666666666666</v>
      </c>
      <c r="CP168" s="142">
        <v>62.375754675305551</v>
      </c>
      <c r="CQ168" s="183">
        <v>-3453.3434076312806</v>
      </c>
      <c r="CR168" s="144"/>
      <c r="CS168"/>
      <c r="CU168" s="232">
        <v>43.639742968570047</v>
      </c>
      <c r="CV168" s="143">
        <v>695.31545145447672</v>
      </c>
      <c r="CW168" s="146">
        <v>33.406502784776556</v>
      </c>
      <c r="CX168" s="143">
        <v>7597.0280821055285</v>
      </c>
      <c r="CY168" s="131">
        <v>25113</v>
      </c>
      <c r="CZ168" s="229">
        <v>9437</v>
      </c>
      <c r="DA168" s="229">
        <v>99088</v>
      </c>
      <c r="DB168" s="216">
        <v>-89651</v>
      </c>
      <c r="DC168" s="229">
        <v>59943</v>
      </c>
      <c r="DD168" s="229">
        <v>39276</v>
      </c>
      <c r="DE168" s="151"/>
      <c r="DG168" s="229">
        <v>-223</v>
      </c>
      <c r="DH168" s="229">
        <v>3098</v>
      </c>
      <c r="DI168" s="229">
        <v>12443</v>
      </c>
      <c r="DJ168" s="229">
        <v>6143</v>
      </c>
      <c r="DK168" s="229">
        <v>0</v>
      </c>
      <c r="DL168" s="229">
        <v>0</v>
      </c>
      <c r="DM168" s="229">
        <v>6300</v>
      </c>
      <c r="DN168" s="131">
        <v>51</v>
      </c>
      <c r="DO168" s="130">
        <v>0</v>
      </c>
      <c r="DP168" s="130">
        <v>-6000</v>
      </c>
      <c r="DQ168" s="130">
        <v>351</v>
      </c>
      <c r="DR168" s="130">
        <v>7527</v>
      </c>
      <c r="DS168" s="130">
        <v>12207</v>
      </c>
      <c r="DT168" s="167"/>
      <c r="DU168" s="183">
        <v>-197</v>
      </c>
      <c r="DV168" s="183">
        <v>-6585</v>
      </c>
      <c r="DW168" s="180">
        <v>-1765</v>
      </c>
      <c r="DX168" s="130">
        <v>59943</v>
      </c>
      <c r="DY168" s="229">
        <v>53137</v>
      </c>
      <c r="DZ168" s="229">
        <v>2686</v>
      </c>
      <c r="EA168" s="229">
        <v>4120</v>
      </c>
      <c r="EB168" s="212">
        <v>20.75</v>
      </c>
      <c r="EC168" s="208"/>
      <c r="ED168" s="183">
        <v>95.323529411764795</v>
      </c>
      <c r="EE168" s="3">
        <v>61510</v>
      </c>
      <c r="EF168" s="183">
        <v>63551</v>
      </c>
      <c r="EG168" s="130">
        <v>64421</v>
      </c>
      <c r="EH168" s="130"/>
      <c r="EI168" s="130"/>
      <c r="EJ168" s="130"/>
      <c r="EK168" s="183">
        <v>-12536</v>
      </c>
      <c r="EL168" s="183">
        <v>531</v>
      </c>
      <c r="EM168" s="183">
        <v>384</v>
      </c>
      <c r="EN168" s="226">
        <v>-9214</v>
      </c>
      <c r="EO168" s="226">
        <v>40</v>
      </c>
      <c r="EP168" s="226">
        <v>3068</v>
      </c>
      <c r="EQ168" s="226">
        <v>-14540</v>
      </c>
      <c r="ER168" s="230">
        <v>90</v>
      </c>
      <c r="ES168" s="230">
        <v>478</v>
      </c>
      <c r="ET168" s="3">
        <v>13000</v>
      </c>
      <c r="EU168" s="211">
        <v>-2500</v>
      </c>
      <c r="EV168" s="183">
        <v>14000</v>
      </c>
      <c r="EW168" s="183">
        <v>-4500</v>
      </c>
      <c r="EX168" s="130">
        <v>16000</v>
      </c>
      <c r="EY168" s="183">
        <v>0</v>
      </c>
      <c r="EZ168" s="3">
        <v>45760</v>
      </c>
      <c r="FA168" s="3">
        <v>35496</v>
      </c>
      <c r="FB168" s="3">
        <v>10264</v>
      </c>
      <c r="FC168" s="3">
        <v>18798</v>
      </c>
      <c r="FD168" s="226">
        <v>49497</v>
      </c>
      <c r="FE168" s="183">
        <v>42912</v>
      </c>
      <c r="FF168" s="183">
        <v>6585</v>
      </c>
      <c r="FG168" s="183">
        <v>18275</v>
      </c>
      <c r="FH168" s="230">
        <v>58911</v>
      </c>
      <c r="FI168" s="130">
        <v>50998</v>
      </c>
      <c r="FJ168" s="130">
        <v>7913</v>
      </c>
      <c r="FK168" s="130">
        <v>17306</v>
      </c>
      <c r="FL168" s="29">
        <v>3872.3510036666457</v>
      </c>
      <c r="FM168" s="139">
        <v>4033.6186964944077</v>
      </c>
      <c r="FN168" s="139">
        <v>4677.2446795113965</v>
      </c>
      <c r="FO168" s="172">
        <f t="shared" si="6"/>
        <v>2560.8192771084337</v>
      </c>
      <c r="FP168" s="170">
        <f t="shared" si="7"/>
        <v>161.24035241836251</v>
      </c>
      <c r="FR168" s="175"/>
      <c r="FS168" s="195"/>
      <c r="FV168" s="175">
        <v>3606</v>
      </c>
      <c r="FW168" s="2">
        <f t="shared" si="8"/>
        <v>-3606</v>
      </c>
      <c r="FZ168" s="186"/>
      <c r="GA168" s="2"/>
      <c r="GB168" s="2"/>
    </row>
    <row r="169" spans="1:184" ht="13" x14ac:dyDescent="0.3">
      <c r="A169" s="77">
        <v>561</v>
      </c>
      <c r="B169" s="75" t="s">
        <v>165</v>
      </c>
      <c r="C169" s="179">
        <v>1364</v>
      </c>
      <c r="D169" s="138"/>
      <c r="E169" s="142">
        <v>-2.6806451612903226</v>
      </c>
      <c r="F169" s="142">
        <v>64.384165839673614</v>
      </c>
      <c r="G169" s="183">
        <v>-3981.6715542521993</v>
      </c>
      <c r="H169" s="144"/>
      <c r="I169" s="186"/>
      <c r="K169" s="210">
        <v>34.204621943010991</v>
      </c>
      <c r="L169" s="143">
        <v>10.263929618768328</v>
      </c>
      <c r="M169" s="146">
        <v>0.49621285686541078</v>
      </c>
      <c r="N169" s="143">
        <v>7549.8533724340177</v>
      </c>
      <c r="O169" s="138">
        <v>3102</v>
      </c>
      <c r="P169" s="143">
        <v>1332</v>
      </c>
      <c r="Q169" s="184">
        <v>9902</v>
      </c>
      <c r="R169" s="184">
        <v>-8570</v>
      </c>
      <c r="S169" s="139">
        <v>3987</v>
      </c>
      <c r="T169" s="138">
        <v>3750</v>
      </c>
      <c r="U169" s="151"/>
      <c r="W169" s="183">
        <v>-42</v>
      </c>
      <c r="X169" s="183">
        <v>0</v>
      </c>
      <c r="Y169" s="184">
        <v>-875</v>
      </c>
      <c r="Z169" s="130">
        <v>472</v>
      </c>
      <c r="AA169" s="130">
        <v>0</v>
      </c>
      <c r="AB169" s="130">
        <v>0</v>
      </c>
      <c r="AC169" s="184">
        <v>-1347</v>
      </c>
      <c r="AD169" s="183">
        <v>15</v>
      </c>
      <c r="AE169" s="183">
        <v>0</v>
      </c>
      <c r="AF169" s="183">
        <v>0</v>
      </c>
      <c r="AG169" s="183">
        <v>-1332</v>
      </c>
      <c r="AH169" s="183">
        <v>-638</v>
      </c>
      <c r="AI169" s="183">
        <v>-875</v>
      </c>
      <c r="AJ169" s="167"/>
      <c r="AK169" s="183">
        <v>0</v>
      </c>
      <c r="AL169" s="183">
        <v>-266</v>
      </c>
      <c r="AM169" s="180">
        <v>-943</v>
      </c>
      <c r="AN169" s="139">
        <v>3987</v>
      </c>
      <c r="AO169" s="138">
        <v>3314</v>
      </c>
      <c r="AP169" s="184">
        <v>356</v>
      </c>
      <c r="AQ169" s="138">
        <v>317</v>
      </c>
      <c r="AR169" s="109">
        <v>19.5</v>
      </c>
      <c r="AS169" s="144"/>
      <c r="AT169" s="139">
        <v>295</v>
      </c>
      <c r="AU169" s="228">
        <v>1329</v>
      </c>
      <c r="AV169" s="138"/>
      <c r="AW169" s="224">
        <v>0.74719421723416402</v>
      </c>
      <c r="AX169" s="225">
        <v>55.643879173290941</v>
      </c>
      <c r="AY169" s="139">
        <v>-3883.3709556057188</v>
      </c>
      <c r="AZ169" s="144"/>
      <c r="BA169"/>
      <c r="BC169" s="189">
        <v>35.205258302583026</v>
      </c>
      <c r="BD169" s="183">
        <v>2.2573363431151239</v>
      </c>
      <c r="BE169" s="140">
        <v>0.10857709469509172</v>
      </c>
      <c r="BF169" s="139">
        <v>7588.4123401053421</v>
      </c>
      <c r="BG169" s="184">
        <v>3163</v>
      </c>
      <c r="BH169" s="216">
        <v>1302</v>
      </c>
      <c r="BI169" s="216">
        <v>9574</v>
      </c>
      <c r="BJ169" s="216">
        <v>-8272</v>
      </c>
      <c r="BK169" s="216">
        <v>4684</v>
      </c>
      <c r="BL169" s="216">
        <v>4078</v>
      </c>
      <c r="BM169" s="151"/>
      <c r="BO169" s="216">
        <v>-43</v>
      </c>
      <c r="BP169" s="216">
        <v>0</v>
      </c>
      <c r="BQ169" s="216">
        <v>447</v>
      </c>
      <c r="BR169" s="216">
        <v>443</v>
      </c>
      <c r="BS169" s="216">
        <v>0</v>
      </c>
      <c r="BT169" s="216">
        <v>0</v>
      </c>
      <c r="BU169" s="216">
        <v>4</v>
      </c>
      <c r="BV169" s="183">
        <v>15</v>
      </c>
      <c r="BW169" s="183">
        <v>0</v>
      </c>
      <c r="BX169" s="183">
        <v>0</v>
      </c>
      <c r="BY169" s="183">
        <v>19</v>
      </c>
      <c r="BZ169" s="183">
        <v>-618</v>
      </c>
      <c r="CA169" s="183">
        <v>448</v>
      </c>
      <c r="CB169" s="167"/>
      <c r="CC169" s="183">
        <v>-41</v>
      </c>
      <c r="CD169" s="183">
        <v>-272</v>
      </c>
      <c r="CE169" s="180">
        <v>283</v>
      </c>
      <c r="CF169" s="139">
        <v>4684</v>
      </c>
      <c r="CG169" s="216">
        <v>3850</v>
      </c>
      <c r="CH169" s="216">
        <v>432</v>
      </c>
      <c r="CI169" s="216">
        <v>402</v>
      </c>
      <c r="CJ169" s="212">
        <v>21</v>
      </c>
      <c r="CK169" s="144"/>
      <c r="CL169" s="130">
        <v>78</v>
      </c>
      <c r="CM169" s="228">
        <v>1334</v>
      </c>
      <c r="CN169" s="138"/>
      <c r="CO169" s="142">
        <v>3.7704402515723272</v>
      </c>
      <c r="CP169" s="142">
        <v>48.171760735045943</v>
      </c>
      <c r="CQ169" s="183">
        <v>-3316.3418290854574</v>
      </c>
      <c r="CR169" s="144"/>
      <c r="CS169"/>
      <c r="CU169" s="232">
        <v>42.249748911951791</v>
      </c>
      <c r="CV169" s="143">
        <v>75.712143928035985</v>
      </c>
      <c r="CW169" s="146">
        <v>3.60009765625</v>
      </c>
      <c r="CX169" s="143">
        <v>7676.1619190404799</v>
      </c>
      <c r="CY169" s="131">
        <v>3306</v>
      </c>
      <c r="CZ169" s="229">
        <v>1331</v>
      </c>
      <c r="DA169" s="229">
        <v>9471</v>
      </c>
      <c r="DB169" s="216">
        <v>-8140</v>
      </c>
      <c r="DC169" s="229">
        <v>4849</v>
      </c>
      <c r="DD169" s="229">
        <v>4486</v>
      </c>
      <c r="DE169" s="151"/>
      <c r="DG169" s="229">
        <v>-42</v>
      </c>
      <c r="DH169" s="229">
        <v>0</v>
      </c>
      <c r="DI169" s="229">
        <v>1153</v>
      </c>
      <c r="DJ169" s="229">
        <v>420</v>
      </c>
      <c r="DK169" s="229">
        <v>0</v>
      </c>
      <c r="DL169" s="229">
        <v>0</v>
      </c>
      <c r="DM169" s="229">
        <v>733</v>
      </c>
      <c r="DN169" s="130">
        <v>15</v>
      </c>
      <c r="DO169" s="130">
        <v>0</v>
      </c>
      <c r="DP169" s="130">
        <v>0</v>
      </c>
      <c r="DQ169" s="130">
        <v>748</v>
      </c>
      <c r="DR169" s="130">
        <v>130</v>
      </c>
      <c r="DS169" s="130">
        <v>1153</v>
      </c>
      <c r="DT169" s="167"/>
      <c r="DU169" s="183">
        <v>-177</v>
      </c>
      <c r="DV169" s="183">
        <v>-272</v>
      </c>
      <c r="DW169" s="180">
        <v>722</v>
      </c>
      <c r="DX169" s="130">
        <v>4849</v>
      </c>
      <c r="DY169" s="229">
        <v>3949</v>
      </c>
      <c r="DZ169" s="229">
        <v>519</v>
      </c>
      <c r="EA169" s="229">
        <v>381</v>
      </c>
      <c r="EB169" s="212">
        <v>21</v>
      </c>
      <c r="EC169" s="208"/>
      <c r="ED169" s="183">
        <v>65.102941176470594</v>
      </c>
      <c r="EE169" s="3">
        <v>5969</v>
      </c>
      <c r="EF169" s="183">
        <v>5571</v>
      </c>
      <c r="EG169" s="130">
        <v>5265</v>
      </c>
      <c r="EH169" s="130"/>
      <c r="EI169" s="130">
        <v>190</v>
      </c>
      <c r="EJ169" s="130"/>
      <c r="EK169" s="183">
        <v>-85</v>
      </c>
      <c r="EL169" s="183">
        <v>0</v>
      </c>
      <c r="EM169" s="183">
        <v>17</v>
      </c>
      <c r="EN169" s="226">
        <v>-194</v>
      </c>
      <c r="EO169" s="226">
        <v>0</v>
      </c>
      <c r="EP169" s="226">
        <v>29</v>
      </c>
      <c r="EQ169" s="226">
        <v>-450</v>
      </c>
      <c r="ER169" s="230">
        <v>0</v>
      </c>
      <c r="ES169" s="230">
        <v>19</v>
      </c>
      <c r="ET169" s="3">
        <v>500</v>
      </c>
      <c r="EU169" s="211">
        <v>486</v>
      </c>
      <c r="EV169" s="183">
        <v>0</v>
      </c>
      <c r="EW169" s="183">
        <v>218</v>
      </c>
      <c r="EX169" s="130">
        <v>0</v>
      </c>
      <c r="EY169" s="183">
        <v>-463</v>
      </c>
      <c r="EZ169" s="3">
        <v>4427</v>
      </c>
      <c r="FA169" s="3">
        <v>2311</v>
      </c>
      <c r="FB169" s="3">
        <v>2116</v>
      </c>
      <c r="FC169" s="3">
        <v>0</v>
      </c>
      <c r="FD169" s="226">
        <v>4374</v>
      </c>
      <c r="FE169" s="183">
        <v>2040</v>
      </c>
      <c r="FF169" s="183">
        <v>2334</v>
      </c>
      <c r="FG169" s="183">
        <v>0</v>
      </c>
      <c r="FH169" s="230">
        <v>3639</v>
      </c>
      <c r="FI169" s="130">
        <v>1768</v>
      </c>
      <c r="FJ169" s="130">
        <v>1871</v>
      </c>
      <c r="FK169" s="130">
        <v>0</v>
      </c>
      <c r="FL169" s="29">
        <v>3742.6686217008796</v>
      </c>
      <c r="FM169" s="139">
        <v>3771.256583897667</v>
      </c>
      <c r="FN169" s="139">
        <v>3140.9295352323834</v>
      </c>
      <c r="FO169" s="172">
        <f t="shared" si="6"/>
        <v>188.04761904761904</v>
      </c>
      <c r="FP169" s="170">
        <f t="shared" si="7"/>
        <v>140.96523166987933</v>
      </c>
      <c r="FR169" s="175"/>
      <c r="FS169" s="195"/>
      <c r="FV169" s="175">
        <v>52</v>
      </c>
      <c r="FW169" s="2">
        <f t="shared" si="8"/>
        <v>-52</v>
      </c>
      <c r="FZ169" s="186"/>
      <c r="GA169" s="2"/>
      <c r="GB169" s="2"/>
    </row>
    <row r="170" spans="1:184" ht="13" x14ac:dyDescent="0.3">
      <c r="A170" s="77">
        <v>562</v>
      </c>
      <c r="B170" s="75" t="s">
        <v>166</v>
      </c>
      <c r="C170" s="179">
        <v>9221</v>
      </c>
      <c r="D170" s="138"/>
      <c r="E170" s="142">
        <v>0.42430653502585802</v>
      </c>
      <c r="F170" s="142">
        <v>44.802149409389358</v>
      </c>
      <c r="G170" s="183">
        <v>-2431.1896757401582</v>
      </c>
      <c r="H170" s="144"/>
      <c r="I170" s="186"/>
      <c r="K170" s="210">
        <v>49.149027459954233</v>
      </c>
      <c r="L170" s="143">
        <v>341.17774644832451</v>
      </c>
      <c r="M170" s="146">
        <v>16.65129565986572</v>
      </c>
      <c r="N170" s="143">
        <v>7478.6899468604279</v>
      </c>
      <c r="O170" s="138">
        <v>17464</v>
      </c>
      <c r="P170" s="143">
        <v>7537</v>
      </c>
      <c r="Q170" s="184">
        <v>61764</v>
      </c>
      <c r="R170" s="184">
        <v>-54227</v>
      </c>
      <c r="S170" s="139">
        <v>32967</v>
      </c>
      <c r="T170" s="138">
        <v>22442</v>
      </c>
      <c r="U170" s="151"/>
      <c r="W170" s="183">
        <v>-224</v>
      </c>
      <c r="X170" s="183">
        <v>555</v>
      </c>
      <c r="Y170" s="184">
        <v>1513</v>
      </c>
      <c r="Z170" s="130">
        <v>3004</v>
      </c>
      <c r="AA170" s="130">
        <v>0</v>
      </c>
      <c r="AB170" s="130">
        <v>0</v>
      </c>
      <c r="AC170" s="184">
        <v>-1491</v>
      </c>
      <c r="AD170" s="184">
        <v>-932</v>
      </c>
      <c r="AE170" s="183">
        <v>1000</v>
      </c>
      <c r="AF170" s="183">
        <v>0</v>
      </c>
      <c r="AG170" s="183">
        <v>-1423</v>
      </c>
      <c r="AH170" s="183">
        <v>6225</v>
      </c>
      <c r="AI170" s="183">
        <v>1484</v>
      </c>
      <c r="AJ170" s="167"/>
      <c r="AK170" s="183">
        <v>-231</v>
      </c>
      <c r="AL170" s="183">
        <v>-3962</v>
      </c>
      <c r="AM170" s="180">
        <v>-1401</v>
      </c>
      <c r="AN170" s="139">
        <v>32967</v>
      </c>
      <c r="AO170" s="138">
        <v>28106</v>
      </c>
      <c r="AP170" s="184">
        <v>1892</v>
      </c>
      <c r="AQ170" s="138">
        <v>2969</v>
      </c>
      <c r="AR170" s="109">
        <v>22</v>
      </c>
      <c r="AS170" s="144"/>
      <c r="AT170" s="139">
        <v>185</v>
      </c>
      <c r="AU170" s="228">
        <v>9158</v>
      </c>
      <c r="AV170" s="138"/>
      <c r="AW170" s="224">
        <v>0.29654514220271044</v>
      </c>
      <c r="AX170" s="225">
        <v>45.916236991111255</v>
      </c>
      <c r="AY170" s="139">
        <v>-2677.222100895392</v>
      </c>
      <c r="AZ170" s="144"/>
      <c r="BA170"/>
      <c r="BC170" s="189">
        <v>46.143656167206359</v>
      </c>
      <c r="BD170" s="183">
        <v>288.05416029700808</v>
      </c>
      <c r="BE170" s="140">
        <v>13.830762159211698</v>
      </c>
      <c r="BF170" s="139">
        <v>7601.8781393317322</v>
      </c>
      <c r="BG170" s="184">
        <v>17877</v>
      </c>
      <c r="BH170" s="216">
        <v>7290</v>
      </c>
      <c r="BI170" s="216">
        <v>62667</v>
      </c>
      <c r="BJ170" s="216">
        <v>-55336</v>
      </c>
      <c r="BK170" s="216">
        <v>33728</v>
      </c>
      <c r="BL170" s="216">
        <v>22208</v>
      </c>
      <c r="BM170" s="151"/>
      <c r="BO170" s="216">
        <v>-178</v>
      </c>
      <c r="BP170" s="216">
        <v>307</v>
      </c>
      <c r="BQ170" s="216">
        <v>729</v>
      </c>
      <c r="BR170" s="216">
        <v>3140</v>
      </c>
      <c r="BS170" s="216">
        <v>0</v>
      </c>
      <c r="BT170" s="216">
        <v>0</v>
      </c>
      <c r="BU170" s="216">
        <v>-2411</v>
      </c>
      <c r="BV170" s="184">
        <v>186</v>
      </c>
      <c r="BW170" s="183">
        <v>0</v>
      </c>
      <c r="BX170" s="183">
        <v>0</v>
      </c>
      <c r="BY170" s="183">
        <v>-2225</v>
      </c>
      <c r="BZ170" s="183">
        <v>3999</v>
      </c>
      <c r="CA170" s="183">
        <v>652</v>
      </c>
      <c r="CB170" s="167"/>
      <c r="CC170" s="183">
        <v>742</v>
      </c>
      <c r="CD170" s="183">
        <v>-3865</v>
      </c>
      <c r="CE170" s="180">
        <v>-2129</v>
      </c>
      <c r="CF170" s="139">
        <v>33728</v>
      </c>
      <c r="CG170" s="216">
        <v>28796</v>
      </c>
      <c r="CH170" s="216">
        <v>1959</v>
      </c>
      <c r="CI170" s="216">
        <v>2973</v>
      </c>
      <c r="CJ170" s="212">
        <v>22</v>
      </c>
      <c r="CK170" s="144"/>
      <c r="CL170" s="130">
        <v>193</v>
      </c>
      <c r="CM170" s="228">
        <v>9008</v>
      </c>
      <c r="CN170" s="138"/>
      <c r="CO170" s="142">
        <v>1.2883822459374241</v>
      </c>
      <c r="CP170" s="142">
        <v>42.296576415948927</v>
      </c>
      <c r="CQ170" s="183">
        <v>-2362.4555950266431</v>
      </c>
      <c r="CR170" s="144"/>
      <c r="CS170"/>
      <c r="CU170" s="232">
        <v>47.867773829210797</v>
      </c>
      <c r="CV170" s="143">
        <v>685.39076376554169</v>
      </c>
      <c r="CW170" s="146">
        <v>31.869298977528249</v>
      </c>
      <c r="CX170" s="143">
        <v>7849.8001776198935</v>
      </c>
      <c r="CY170" s="131">
        <v>17316</v>
      </c>
      <c r="CZ170" s="229">
        <v>6916</v>
      </c>
      <c r="DA170" s="229">
        <v>64698</v>
      </c>
      <c r="DB170" s="216">
        <v>-57782</v>
      </c>
      <c r="DC170" s="229">
        <v>35359</v>
      </c>
      <c r="DD170" s="229">
        <v>27304</v>
      </c>
      <c r="DE170" s="151"/>
      <c r="DG170" s="229">
        <v>-166</v>
      </c>
      <c r="DH170" s="229">
        <v>382</v>
      </c>
      <c r="DI170" s="229">
        <v>5097</v>
      </c>
      <c r="DJ170" s="229">
        <v>2967</v>
      </c>
      <c r="DK170" s="229">
        <v>0</v>
      </c>
      <c r="DL170" s="229">
        <v>0</v>
      </c>
      <c r="DM170" s="229">
        <v>2130</v>
      </c>
      <c r="DN170" s="131">
        <v>149</v>
      </c>
      <c r="DO170" s="130">
        <v>0</v>
      </c>
      <c r="DP170" s="130">
        <v>0</v>
      </c>
      <c r="DQ170" s="130">
        <v>2279</v>
      </c>
      <c r="DR170" s="130">
        <v>6278</v>
      </c>
      <c r="DS170" s="130">
        <v>5106</v>
      </c>
      <c r="DT170" s="167"/>
      <c r="DU170" s="183">
        <v>-87</v>
      </c>
      <c r="DV170" s="183">
        <v>-3908</v>
      </c>
      <c r="DW170" s="180">
        <v>3212</v>
      </c>
      <c r="DX170" s="130">
        <v>35359</v>
      </c>
      <c r="DY170" s="229">
        <v>30497</v>
      </c>
      <c r="DZ170" s="229">
        <v>2087</v>
      </c>
      <c r="EA170" s="229">
        <v>2775</v>
      </c>
      <c r="EB170" s="212">
        <v>22</v>
      </c>
      <c r="EC170" s="208"/>
      <c r="ED170" s="183">
        <v>201.095588235294</v>
      </c>
      <c r="EE170" s="3">
        <v>40085</v>
      </c>
      <c r="EF170" s="183">
        <v>40596</v>
      </c>
      <c r="EG170" s="130">
        <v>43026</v>
      </c>
      <c r="EH170" s="130"/>
      <c r="EI170" s="130"/>
      <c r="EJ170" s="130">
        <v>950</v>
      </c>
      <c r="EK170" s="183">
        <v>-2952</v>
      </c>
      <c r="EL170" s="183">
        <v>7</v>
      </c>
      <c r="EM170" s="183">
        <v>60</v>
      </c>
      <c r="EN170" s="226">
        <v>-2885</v>
      </c>
      <c r="EO170" s="226">
        <v>0</v>
      </c>
      <c r="EP170" s="226">
        <v>104</v>
      </c>
      <c r="EQ170" s="226">
        <v>-1921</v>
      </c>
      <c r="ER170" s="230">
        <v>0</v>
      </c>
      <c r="ES170" s="230">
        <v>27</v>
      </c>
      <c r="ET170" s="3">
        <v>0</v>
      </c>
      <c r="EU170" s="211">
        <v>0</v>
      </c>
      <c r="EV170" s="183">
        <v>5000</v>
      </c>
      <c r="EW170" s="183">
        <v>2000</v>
      </c>
      <c r="EX170" s="130">
        <v>4000</v>
      </c>
      <c r="EY170" s="183">
        <v>-2000</v>
      </c>
      <c r="EZ170" s="3">
        <v>19728</v>
      </c>
      <c r="FA170" s="3">
        <v>16113</v>
      </c>
      <c r="FB170" s="3">
        <v>3615</v>
      </c>
      <c r="FC170" s="3">
        <v>2022</v>
      </c>
      <c r="FD170" s="226">
        <v>22863</v>
      </c>
      <c r="FE170" s="183">
        <v>17155</v>
      </c>
      <c r="FF170" s="183">
        <v>5708</v>
      </c>
      <c r="FG170" s="183">
        <v>1972</v>
      </c>
      <c r="FH170" s="230">
        <v>20955</v>
      </c>
      <c r="FI170" s="130">
        <v>17081</v>
      </c>
      <c r="FJ170" s="130">
        <v>3874</v>
      </c>
      <c r="FK170" s="130">
        <v>1922</v>
      </c>
      <c r="FL170" s="29">
        <v>3444.3118967574014</v>
      </c>
      <c r="FM170" s="139">
        <v>4089.8667831404232</v>
      </c>
      <c r="FN170" s="139">
        <v>4081.7051509769094</v>
      </c>
      <c r="FO170" s="172">
        <f t="shared" si="6"/>
        <v>1386.2272727272727</v>
      </c>
      <c r="FP170" s="170">
        <f t="shared" si="7"/>
        <v>153.88846278055871</v>
      </c>
      <c r="FR170" s="175"/>
      <c r="FS170" s="195"/>
      <c r="FV170" s="175">
        <v>1919</v>
      </c>
      <c r="FW170" s="2">
        <f t="shared" si="8"/>
        <v>-1919</v>
      </c>
      <c r="FZ170" s="186"/>
      <c r="GA170" s="2"/>
      <c r="GB170" s="2"/>
    </row>
    <row r="171" spans="1:184" ht="13" x14ac:dyDescent="0.3">
      <c r="A171" s="77">
        <v>563</v>
      </c>
      <c r="B171" s="75" t="s">
        <v>167</v>
      </c>
      <c r="C171" s="179">
        <v>7430</v>
      </c>
      <c r="D171" s="138"/>
      <c r="E171" s="142">
        <v>4.6677215189873417E-2</v>
      </c>
      <c r="F171" s="142">
        <v>72.229104946584073</v>
      </c>
      <c r="G171" s="183">
        <v>-2867.6985195154775</v>
      </c>
      <c r="H171" s="144"/>
      <c r="I171" s="186"/>
      <c r="K171" s="210">
        <v>44.316591721121057</v>
      </c>
      <c r="L171" s="143">
        <v>2275.1009421265144</v>
      </c>
      <c r="M171" s="146">
        <v>103.79624177783759</v>
      </c>
      <c r="N171" s="143">
        <v>8000.4037685060575</v>
      </c>
      <c r="O171" s="138">
        <v>24248</v>
      </c>
      <c r="P171" s="143">
        <v>7314</v>
      </c>
      <c r="Q171" s="184">
        <v>55983</v>
      </c>
      <c r="R171" s="184">
        <v>-48669</v>
      </c>
      <c r="S171" s="139">
        <v>24331</v>
      </c>
      <c r="T171" s="138">
        <v>24050</v>
      </c>
      <c r="U171" s="151"/>
      <c r="W171" s="183">
        <v>-55</v>
      </c>
      <c r="X171" s="183">
        <v>323</v>
      </c>
      <c r="Y171" s="184">
        <v>-20</v>
      </c>
      <c r="Z171" s="130">
        <v>2541</v>
      </c>
      <c r="AA171" s="130">
        <v>0</v>
      </c>
      <c r="AB171" s="130">
        <v>0</v>
      </c>
      <c r="AC171" s="184">
        <v>-2561</v>
      </c>
      <c r="AD171" s="184">
        <v>55</v>
      </c>
      <c r="AE171" s="183">
        <v>0</v>
      </c>
      <c r="AF171" s="183">
        <v>0</v>
      </c>
      <c r="AG171" s="183">
        <v>-2506</v>
      </c>
      <c r="AH171" s="183">
        <v>3262</v>
      </c>
      <c r="AI171" s="183">
        <v>-221</v>
      </c>
      <c r="AJ171" s="167"/>
      <c r="AK171" s="183">
        <v>-73</v>
      </c>
      <c r="AL171" s="183">
        <v>-1185</v>
      </c>
      <c r="AM171" s="180">
        <v>-1328</v>
      </c>
      <c r="AN171" s="139">
        <v>24331</v>
      </c>
      <c r="AO171" s="138">
        <v>21172</v>
      </c>
      <c r="AP171" s="184">
        <v>1128</v>
      </c>
      <c r="AQ171" s="138">
        <v>2031</v>
      </c>
      <c r="AR171" s="109">
        <v>21.5</v>
      </c>
      <c r="AS171" s="144"/>
      <c r="AT171" s="139">
        <v>253</v>
      </c>
      <c r="AU171" s="228">
        <v>7288</v>
      </c>
      <c r="AV171" s="138"/>
      <c r="AW171" s="224">
        <v>0.19868927494018518</v>
      </c>
      <c r="AX171" s="225">
        <v>73.203081427774677</v>
      </c>
      <c r="AY171" s="139">
        <v>-3112.7881448957191</v>
      </c>
      <c r="AZ171" s="144"/>
      <c r="BA171"/>
      <c r="BC171" s="189">
        <v>42.089713322091065</v>
      </c>
      <c r="BD171" s="183">
        <v>2370.7464324917673</v>
      </c>
      <c r="BE171" s="140">
        <v>101.17547968940512</v>
      </c>
      <c r="BF171" s="139">
        <v>8552.6893523600447</v>
      </c>
      <c r="BG171" s="184">
        <v>25471</v>
      </c>
      <c r="BH171" s="216">
        <v>7878</v>
      </c>
      <c r="BI171" s="216">
        <v>58089</v>
      </c>
      <c r="BJ171" s="216">
        <v>-50211</v>
      </c>
      <c r="BK171" s="216">
        <v>25498</v>
      </c>
      <c r="BL171" s="216">
        <v>24000</v>
      </c>
      <c r="BM171" s="151"/>
      <c r="BO171" s="216">
        <v>-50</v>
      </c>
      <c r="BP171" s="216">
        <v>1660</v>
      </c>
      <c r="BQ171" s="216">
        <v>897</v>
      </c>
      <c r="BR171" s="216">
        <v>2370</v>
      </c>
      <c r="BS171" s="216">
        <v>51</v>
      </c>
      <c r="BT171" s="216">
        <v>0</v>
      </c>
      <c r="BU171" s="216">
        <v>-1422</v>
      </c>
      <c r="BV171" s="184">
        <v>55</v>
      </c>
      <c r="BW171" s="183">
        <v>0</v>
      </c>
      <c r="BX171" s="183">
        <v>0</v>
      </c>
      <c r="BY171" s="183">
        <v>-1367</v>
      </c>
      <c r="BZ171" s="183">
        <v>1895</v>
      </c>
      <c r="CA171" s="183">
        <v>898</v>
      </c>
      <c r="CB171" s="167"/>
      <c r="CC171" s="183">
        <v>-20</v>
      </c>
      <c r="CD171" s="183">
        <v>-1085</v>
      </c>
      <c r="CE171" s="180">
        <v>-1452</v>
      </c>
      <c r="CF171" s="139">
        <v>25498</v>
      </c>
      <c r="CG171" s="216">
        <v>21940</v>
      </c>
      <c r="CH171" s="216">
        <v>1415</v>
      </c>
      <c r="CI171" s="216">
        <v>2143</v>
      </c>
      <c r="CJ171" s="212">
        <v>22</v>
      </c>
      <c r="CK171" s="144"/>
      <c r="CL171" s="130">
        <v>172</v>
      </c>
      <c r="CM171" s="228">
        <v>7155</v>
      </c>
      <c r="CN171" s="138"/>
      <c r="CO171" s="142">
        <v>5.1563517915309447</v>
      </c>
      <c r="CP171" s="142">
        <v>64.117948225656775</v>
      </c>
      <c r="CQ171" s="183">
        <v>-2856.324248777079</v>
      </c>
      <c r="CR171" s="144"/>
      <c r="CS171"/>
      <c r="CU171" s="232">
        <v>44.899488744345405</v>
      </c>
      <c r="CV171" s="143">
        <v>2500.20964360587</v>
      </c>
      <c r="CW171" s="146">
        <v>105.58675614489003</v>
      </c>
      <c r="CX171" s="143">
        <v>8642.9070580013977</v>
      </c>
      <c r="CY171" s="131">
        <v>25795</v>
      </c>
      <c r="CZ171" s="229">
        <v>7928</v>
      </c>
      <c r="DA171" s="229">
        <v>57946</v>
      </c>
      <c r="DB171" s="216">
        <v>-50018</v>
      </c>
      <c r="DC171" s="229">
        <v>26231</v>
      </c>
      <c r="DD171" s="229">
        <v>28343</v>
      </c>
      <c r="DE171" s="151"/>
      <c r="DG171" s="229">
        <v>-28</v>
      </c>
      <c r="DH171" s="229">
        <v>189</v>
      </c>
      <c r="DI171" s="229">
        <v>4717</v>
      </c>
      <c r="DJ171" s="229">
        <v>2368</v>
      </c>
      <c r="DK171" s="229">
        <v>0</v>
      </c>
      <c r="DL171" s="229">
        <v>0</v>
      </c>
      <c r="DM171" s="229">
        <v>2349</v>
      </c>
      <c r="DN171" s="131">
        <v>55</v>
      </c>
      <c r="DO171" s="130">
        <v>-490</v>
      </c>
      <c r="DP171" s="130">
        <v>0</v>
      </c>
      <c r="DQ171" s="130">
        <v>1914</v>
      </c>
      <c r="DR171" s="130">
        <v>3809</v>
      </c>
      <c r="DS171" s="130">
        <v>4703</v>
      </c>
      <c r="DT171" s="167"/>
      <c r="DU171" s="183">
        <v>288</v>
      </c>
      <c r="DV171" s="183">
        <v>-889</v>
      </c>
      <c r="DW171" s="180">
        <v>2262</v>
      </c>
      <c r="DX171" s="130">
        <v>26231</v>
      </c>
      <c r="DY171" s="229">
        <v>22532</v>
      </c>
      <c r="DZ171" s="229">
        <v>1767</v>
      </c>
      <c r="EA171" s="229">
        <v>1932</v>
      </c>
      <c r="EB171" s="212">
        <v>22</v>
      </c>
      <c r="EC171" s="208"/>
      <c r="ED171" s="183">
        <v>152.742647058823</v>
      </c>
      <c r="EE171" s="3">
        <v>24739</v>
      </c>
      <c r="EF171" s="183">
        <v>25245</v>
      </c>
      <c r="EG171" s="130">
        <v>24767</v>
      </c>
      <c r="EH171" s="130"/>
      <c r="EI171" s="130"/>
      <c r="EJ171" s="130"/>
      <c r="EK171" s="183">
        <v>-1356</v>
      </c>
      <c r="EL171" s="183">
        <v>101</v>
      </c>
      <c r="EM171" s="183">
        <v>148</v>
      </c>
      <c r="EN171" s="226">
        <v>-2878</v>
      </c>
      <c r="EO171" s="226">
        <v>450</v>
      </c>
      <c r="EP171" s="226">
        <v>78</v>
      </c>
      <c r="EQ171" s="226">
        <v>-2610</v>
      </c>
      <c r="ER171" s="230">
        <v>136</v>
      </c>
      <c r="ES171" s="230">
        <v>33</v>
      </c>
      <c r="ET171" s="3">
        <v>0</v>
      </c>
      <c r="EU171" s="211">
        <v>1900</v>
      </c>
      <c r="EV171" s="183">
        <v>0</v>
      </c>
      <c r="EW171" s="183">
        <v>3250</v>
      </c>
      <c r="EX171" s="130">
        <v>0</v>
      </c>
      <c r="EY171" s="183">
        <v>-846</v>
      </c>
      <c r="EZ171" s="3">
        <v>32536</v>
      </c>
      <c r="FA171" s="3">
        <v>4551</v>
      </c>
      <c r="FB171" s="3">
        <v>27985</v>
      </c>
      <c r="FC171" s="3">
        <v>40</v>
      </c>
      <c r="FD171" s="226">
        <v>34701</v>
      </c>
      <c r="FE171" s="183">
        <v>3666</v>
      </c>
      <c r="FF171" s="183">
        <v>31035</v>
      </c>
      <c r="FG171" s="183">
        <v>0</v>
      </c>
      <c r="FH171" s="230">
        <v>32966</v>
      </c>
      <c r="FI171" s="130">
        <v>2777</v>
      </c>
      <c r="FJ171" s="130">
        <v>30189</v>
      </c>
      <c r="FK171" s="130">
        <v>0</v>
      </c>
      <c r="FL171" s="29">
        <v>5764.0646029609698</v>
      </c>
      <c r="FM171" s="139">
        <v>6334.3852908891322</v>
      </c>
      <c r="FN171" s="139">
        <v>6995.6673654786864</v>
      </c>
      <c r="FO171" s="172">
        <f t="shared" si="6"/>
        <v>1024.1818181818182</v>
      </c>
      <c r="FP171" s="170">
        <f t="shared" si="7"/>
        <v>143.1421129534337</v>
      </c>
      <c r="FR171" s="175"/>
      <c r="FS171" s="195"/>
      <c r="FV171" s="175">
        <v>2649</v>
      </c>
      <c r="FW171" s="2">
        <f t="shared" si="8"/>
        <v>-2649</v>
      </c>
      <c r="FZ171" s="186"/>
      <c r="GA171" s="2"/>
      <c r="GB171" s="2"/>
    </row>
    <row r="172" spans="1:184" ht="13" x14ac:dyDescent="0.3">
      <c r="A172" s="77">
        <v>564</v>
      </c>
      <c r="B172" s="75" t="s">
        <v>168</v>
      </c>
      <c r="C172" s="179">
        <v>203567</v>
      </c>
      <c r="D172" s="138"/>
      <c r="E172" s="142">
        <v>1.8949475427940365</v>
      </c>
      <c r="F172" s="142">
        <v>66.144031544098496</v>
      </c>
      <c r="G172" s="183">
        <v>-3101.2344829957701</v>
      </c>
      <c r="H172" s="144"/>
      <c r="I172" s="186"/>
      <c r="K172" s="210">
        <v>63.613880329821711</v>
      </c>
      <c r="L172" s="143">
        <v>687.10056148589899</v>
      </c>
      <c r="M172" s="146">
        <v>36.178849372770401</v>
      </c>
      <c r="N172" s="143">
        <v>6931.9978188999203</v>
      </c>
      <c r="O172" s="138">
        <v>498720</v>
      </c>
      <c r="P172" s="143">
        <v>264252</v>
      </c>
      <c r="Q172" s="184">
        <v>1248889</v>
      </c>
      <c r="R172" s="184">
        <v>-984637</v>
      </c>
      <c r="S172" s="139">
        <v>766896</v>
      </c>
      <c r="T172" s="138">
        <v>273284</v>
      </c>
      <c r="U172" s="151"/>
      <c r="W172" s="183">
        <v>-327</v>
      </c>
      <c r="X172" s="183">
        <v>2681</v>
      </c>
      <c r="Y172" s="184">
        <v>57897</v>
      </c>
      <c r="Z172" s="130">
        <v>81437</v>
      </c>
      <c r="AA172" s="130">
        <v>0</v>
      </c>
      <c r="AB172" s="130">
        <v>0</v>
      </c>
      <c r="AC172" s="184">
        <v>-23540</v>
      </c>
      <c r="AD172" s="183">
        <v>-3969</v>
      </c>
      <c r="AE172" s="183">
        <v>8200</v>
      </c>
      <c r="AF172" s="184">
        <v>0</v>
      </c>
      <c r="AG172" s="183">
        <v>-19309</v>
      </c>
      <c r="AH172" s="183">
        <v>837326</v>
      </c>
      <c r="AI172" s="183">
        <v>38268</v>
      </c>
      <c r="AJ172" s="167"/>
      <c r="AK172" s="183">
        <v>21032</v>
      </c>
      <c r="AL172" s="183">
        <v>-25482</v>
      </c>
      <c r="AM172" s="180">
        <v>-47613</v>
      </c>
      <c r="AN172" s="139">
        <v>766896</v>
      </c>
      <c r="AO172" s="138">
        <v>665006</v>
      </c>
      <c r="AP172" s="184">
        <v>45173</v>
      </c>
      <c r="AQ172" s="138">
        <v>56717</v>
      </c>
      <c r="AR172" s="109">
        <v>20</v>
      </c>
      <c r="AS172" s="144"/>
      <c r="AT172" s="139">
        <v>117</v>
      </c>
      <c r="AU172" s="228">
        <v>205489</v>
      </c>
      <c r="AV172" s="138"/>
      <c r="AW172" s="224">
        <v>0.51212696189080342</v>
      </c>
      <c r="AX172" s="225">
        <v>68.73954184949271</v>
      </c>
      <c r="AY172" s="139">
        <v>-3354.675919392279</v>
      </c>
      <c r="AZ172" s="144"/>
      <c r="BA172"/>
      <c r="BC172" s="189">
        <v>61.257636863357533</v>
      </c>
      <c r="BD172" s="183">
        <v>729.08525517180965</v>
      </c>
      <c r="BE172" s="140">
        <v>37.369159268087337</v>
      </c>
      <c r="BF172" s="139">
        <v>7121.2765646822945</v>
      </c>
      <c r="BG172" s="184">
        <v>521871</v>
      </c>
      <c r="BH172" s="216">
        <v>256135</v>
      </c>
      <c r="BI172" s="216">
        <v>1323844</v>
      </c>
      <c r="BJ172" s="216">
        <v>-1049107</v>
      </c>
      <c r="BK172" s="216">
        <v>796895</v>
      </c>
      <c r="BL172" s="216">
        <v>279065</v>
      </c>
      <c r="BM172" s="151"/>
      <c r="BO172" s="216">
        <v>-31</v>
      </c>
      <c r="BP172" s="216">
        <v>16064</v>
      </c>
      <c r="BQ172" s="216">
        <v>42886</v>
      </c>
      <c r="BR172" s="216">
        <v>87249</v>
      </c>
      <c r="BS172" s="216">
        <v>0</v>
      </c>
      <c r="BT172" s="216">
        <v>0</v>
      </c>
      <c r="BU172" s="216">
        <v>-44363</v>
      </c>
      <c r="BV172" s="183">
        <v>3895</v>
      </c>
      <c r="BW172" s="183">
        <v>-5000</v>
      </c>
      <c r="BX172" s="184">
        <v>0</v>
      </c>
      <c r="BY172" s="183">
        <v>-45468</v>
      </c>
      <c r="BZ172" s="183">
        <v>791857</v>
      </c>
      <c r="CA172" s="183">
        <v>37459</v>
      </c>
      <c r="CB172" s="167"/>
      <c r="CC172" s="183">
        <v>-16968</v>
      </c>
      <c r="CD172" s="183">
        <v>-25849</v>
      </c>
      <c r="CE172" s="180">
        <v>-65808</v>
      </c>
      <c r="CF172" s="139">
        <v>796895</v>
      </c>
      <c r="CG172" s="216">
        <v>694362</v>
      </c>
      <c r="CH172" s="216">
        <v>45324</v>
      </c>
      <c r="CI172" s="216">
        <v>57209</v>
      </c>
      <c r="CJ172" s="212">
        <v>20</v>
      </c>
      <c r="CK172" s="144"/>
      <c r="CL172" s="130">
        <v>123</v>
      </c>
      <c r="CM172" s="228">
        <v>207327</v>
      </c>
      <c r="CN172" s="138"/>
      <c r="CO172" s="142">
        <v>3.3572436279273914</v>
      </c>
      <c r="CP172" s="142">
        <v>68.388961584832643</v>
      </c>
      <c r="CQ172" s="183">
        <v>-3350.1473517679801</v>
      </c>
      <c r="CR172" s="144"/>
      <c r="CS172"/>
      <c r="CU172" s="232">
        <v>60.15566351694531</v>
      </c>
      <c r="CV172" s="143">
        <v>1009.7671793832931</v>
      </c>
      <c r="CW172" s="146">
        <v>51.163105856137854</v>
      </c>
      <c r="CX172" s="143">
        <v>7203.7264803908802</v>
      </c>
      <c r="CY172" s="131">
        <v>522517</v>
      </c>
      <c r="CZ172" s="229">
        <v>258955</v>
      </c>
      <c r="DA172" s="229">
        <v>1346597</v>
      </c>
      <c r="DB172" s="216">
        <v>-1087642</v>
      </c>
      <c r="DC172" s="229">
        <v>824135</v>
      </c>
      <c r="DD172" s="229">
        <v>354280</v>
      </c>
      <c r="DE172" s="151"/>
      <c r="DG172" s="229">
        <v>-247</v>
      </c>
      <c r="DH172" s="229">
        <v>5872</v>
      </c>
      <c r="DI172" s="229">
        <v>96398</v>
      </c>
      <c r="DJ172" s="229">
        <v>82956</v>
      </c>
      <c r="DK172" s="229">
        <v>0</v>
      </c>
      <c r="DL172" s="229">
        <v>0</v>
      </c>
      <c r="DM172" s="229">
        <v>13442</v>
      </c>
      <c r="DN172" s="130">
        <v>3757</v>
      </c>
      <c r="DO172" s="130">
        <v>-4500</v>
      </c>
      <c r="DP172" s="131">
        <v>0</v>
      </c>
      <c r="DQ172" s="130">
        <v>12699</v>
      </c>
      <c r="DR172" s="130">
        <v>804556</v>
      </c>
      <c r="DS172" s="130">
        <v>87035</v>
      </c>
      <c r="DT172" s="167"/>
      <c r="DU172" s="183">
        <v>9892</v>
      </c>
      <c r="DV172" s="183">
        <v>-21209</v>
      </c>
      <c r="DW172" s="180">
        <v>-16983</v>
      </c>
      <c r="DX172" s="130">
        <v>824135</v>
      </c>
      <c r="DY172" s="229">
        <v>724511</v>
      </c>
      <c r="DZ172" s="229">
        <v>45547</v>
      </c>
      <c r="EA172" s="229">
        <v>54077</v>
      </c>
      <c r="EB172" s="212">
        <v>20</v>
      </c>
      <c r="EC172" s="208"/>
      <c r="ED172" s="183">
        <v>237.36029411764699</v>
      </c>
      <c r="EE172" s="3">
        <v>530144</v>
      </c>
      <c r="EF172" s="183">
        <v>571514</v>
      </c>
      <c r="EG172" s="130">
        <v>583566</v>
      </c>
      <c r="EH172" s="130"/>
      <c r="EI172" s="130"/>
      <c r="EJ172" s="130"/>
      <c r="EK172" s="183">
        <v>-130957</v>
      </c>
      <c r="EL172" s="183">
        <v>798</v>
      </c>
      <c r="EM172" s="183">
        <v>44278</v>
      </c>
      <c r="EN172" s="226">
        <v>-120974</v>
      </c>
      <c r="EO172" s="226">
        <v>722</v>
      </c>
      <c r="EP172" s="226">
        <v>16985</v>
      </c>
      <c r="EQ172" s="226">
        <v>-122952</v>
      </c>
      <c r="ER172" s="230">
        <v>675</v>
      </c>
      <c r="ES172" s="230">
        <v>18259</v>
      </c>
      <c r="ET172" s="3">
        <v>30000</v>
      </c>
      <c r="EU172" s="211">
        <v>8391</v>
      </c>
      <c r="EV172" s="183">
        <v>30000</v>
      </c>
      <c r="EW172" s="183">
        <v>51506</v>
      </c>
      <c r="EX172" s="130">
        <v>150000</v>
      </c>
      <c r="EY172" s="183">
        <v>-79180</v>
      </c>
      <c r="EZ172" s="3">
        <v>645507</v>
      </c>
      <c r="FA172" s="3">
        <v>383815</v>
      </c>
      <c r="FB172" s="3">
        <v>261692</v>
      </c>
      <c r="FC172" s="3">
        <v>151213</v>
      </c>
      <c r="FD172" s="226">
        <v>701165</v>
      </c>
      <c r="FE172" s="183">
        <v>397608</v>
      </c>
      <c r="FF172" s="183">
        <v>303557</v>
      </c>
      <c r="FG172" s="183">
        <v>146080</v>
      </c>
      <c r="FH172" s="230">
        <v>750777</v>
      </c>
      <c r="FI172" s="130">
        <v>515759</v>
      </c>
      <c r="FJ172" s="130">
        <v>235018</v>
      </c>
      <c r="FK172" s="130">
        <v>138151</v>
      </c>
      <c r="FL172" s="29">
        <v>4097.5894914205155</v>
      </c>
      <c r="FM172" s="139">
        <v>4707.7556462876355</v>
      </c>
      <c r="FN172" s="139">
        <v>5928.8032914188698</v>
      </c>
      <c r="FO172" s="172">
        <f t="shared" si="6"/>
        <v>36225.550000000003</v>
      </c>
      <c r="FP172" s="170">
        <f t="shared" si="7"/>
        <v>174.72663955972934</v>
      </c>
      <c r="FR172" s="175"/>
      <c r="FS172" s="195"/>
      <c r="FV172" s="175">
        <v>15208</v>
      </c>
      <c r="FW172" s="2">
        <f t="shared" si="8"/>
        <v>-15208</v>
      </c>
      <c r="FZ172" s="186"/>
      <c r="GA172" s="2"/>
      <c r="GB172" s="2"/>
    </row>
    <row r="173" spans="1:184" ht="13" x14ac:dyDescent="0.3">
      <c r="A173" s="77">
        <v>309</v>
      </c>
      <c r="B173" s="75" t="s">
        <v>110</v>
      </c>
      <c r="C173" s="179">
        <v>6803</v>
      </c>
      <c r="D173" s="138"/>
      <c r="E173" s="142">
        <v>1.114053823152499</v>
      </c>
      <c r="F173" s="142">
        <v>30.537408223943689</v>
      </c>
      <c r="G173" s="183">
        <v>-1380.5673967367338</v>
      </c>
      <c r="H173" s="144"/>
      <c r="I173" s="186"/>
      <c r="K173" s="210">
        <v>64.298623351703512</v>
      </c>
      <c r="L173" s="143">
        <v>334.41128913714533</v>
      </c>
      <c r="M173" s="146">
        <v>16.224916469645752</v>
      </c>
      <c r="N173" s="143">
        <v>7523.0045568131709</v>
      </c>
      <c r="O173" s="138">
        <v>12260</v>
      </c>
      <c r="P173" s="143">
        <v>7335</v>
      </c>
      <c r="Q173" s="184">
        <v>47374</v>
      </c>
      <c r="R173" s="184">
        <v>-40039</v>
      </c>
      <c r="S173" s="139">
        <v>21362</v>
      </c>
      <c r="T173" s="138">
        <v>20744</v>
      </c>
      <c r="U173" s="151"/>
      <c r="W173" s="183">
        <v>-86</v>
      </c>
      <c r="X173" s="183">
        <v>509</v>
      </c>
      <c r="Y173" s="184">
        <v>2490</v>
      </c>
      <c r="Z173" s="130">
        <v>1972</v>
      </c>
      <c r="AA173" s="130">
        <v>0</v>
      </c>
      <c r="AB173" s="130">
        <v>0</v>
      </c>
      <c r="AC173" s="184">
        <v>518</v>
      </c>
      <c r="AD173" s="184">
        <v>0</v>
      </c>
      <c r="AE173" s="184">
        <v>0</v>
      </c>
      <c r="AF173" s="184">
        <v>-5</v>
      </c>
      <c r="AG173" s="183">
        <v>513</v>
      </c>
      <c r="AH173" s="183">
        <v>5503</v>
      </c>
      <c r="AI173" s="183">
        <v>2490</v>
      </c>
      <c r="AJ173" s="167"/>
      <c r="AK173" s="183">
        <v>-756</v>
      </c>
      <c r="AL173" s="183">
        <v>-2223</v>
      </c>
      <c r="AM173" s="180">
        <v>1134</v>
      </c>
      <c r="AN173" s="139">
        <v>21362</v>
      </c>
      <c r="AO173" s="138">
        <v>18390</v>
      </c>
      <c r="AP173" s="184">
        <v>1246</v>
      </c>
      <c r="AQ173" s="138">
        <v>1726</v>
      </c>
      <c r="AR173" s="109">
        <v>21.75</v>
      </c>
      <c r="AS173" s="144"/>
      <c r="AT173" s="139">
        <v>88</v>
      </c>
      <c r="AU173" s="228">
        <v>6688</v>
      </c>
      <c r="AV173" s="138"/>
      <c r="AW173" s="224">
        <v>0.51729391186593687</v>
      </c>
      <c r="AX173" s="225">
        <v>39.433506610453932</v>
      </c>
      <c r="AY173" s="139">
        <v>-1832.2368421052631</v>
      </c>
      <c r="AZ173" s="144"/>
      <c r="BA173"/>
      <c r="BC173" s="189">
        <v>56.797899141722532</v>
      </c>
      <c r="BD173" s="183">
        <v>441.98564593301438</v>
      </c>
      <c r="BE173" s="140">
        <v>19.670379756066435</v>
      </c>
      <c r="BF173" s="139">
        <v>8201.4055023923447</v>
      </c>
      <c r="BG173" s="184">
        <v>12388</v>
      </c>
      <c r="BH173" s="216">
        <v>7016</v>
      </c>
      <c r="BI173" s="216">
        <v>48509</v>
      </c>
      <c r="BJ173" s="216">
        <v>-41493</v>
      </c>
      <c r="BK173" s="216">
        <v>21129</v>
      </c>
      <c r="BL173" s="216">
        <v>20717</v>
      </c>
      <c r="BM173" s="151"/>
      <c r="BO173" s="216">
        <v>-55</v>
      </c>
      <c r="BP173" s="216">
        <v>756</v>
      </c>
      <c r="BQ173" s="216">
        <v>1054</v>
      </c>
      <c r="BR173" s="216">
        <v>2223</v>
      </c>
      <c r="BS173" s="216">
        <v>0</v>
      </c>
      <c r="BT173" s="216">
        <v>431</v>
      </c>
      <c r="BU173" s="216">
        <v>-1600</v>
      </c>
      <c r="BV173" s="184">
        <v>0</v>
      </c>
      <c r="BW173" s="184">
        <v>0</v>
      </c>
      <c r="BX173" s="184">
        <v>0</v>
      </c>
      <c r="BY173" s="183">
        <v>-1600</v>
      </c>
      <c r="BZ173" s="183">
        <v>3289</v>
      </c>
      <c r="CA173" s="183">
        <v>522</v>
      </c>
      <c r="CB173" s="167"/>
      <c r="CC173" s="183">
        <v>-627</v>
      </c>
      <c r="CD173" s="183">
        <v>-2123</v>
      </c>
      <c r="CE173" s="180">
        <v>-2375</v>
      </c>
      <c r="CF173" s="139">
        <v>21129</v>
      </c>
      <c r="CG173" s="216">
        <v>18127</v>
      </c>
      <c r="CH173" s="216">
        <v>1342</v>
      </c>
      <c r="CI173" s="216">
        <v>1660</v>
      </c>
      <c r="CJ173" s="212">
        <v>21.75</v>
      </c>
      <c r="CK173" s="144"/>
      <c r="CL173" s="130">
        <v>150</v>
      </c>
      <c r="CM173" s="228">
        <v>6552</v>
      </c>
      <c r="CN173" s="138"/>
      <c r="CO173" s="142">
        <v>15.701317715959004</v>
      </c>
      <c r="CP173" s="142">
        <v>33.323142769795169</v>
      </c>
      <c r="CQ173" s="183">
        <v>7936.9658119658116</v>
      </c>
      <c r="CR173" s="144"/>
      <c r="CS173"/>
      <c r="CU173" s="232">
        <v>84.176200740617915</v>
      </c>
      <c r="CV173" s="143">
        <v>9904.1514041514038</v>
      </c>
      <c r="CW173" s="146">
        <v>320.86455877970144</v>
      </c>
      <c r="CX173" s="143">
        <v>11266.483516483517</v>
      </c>
      <c r="CY173" s="131">
        <v>11933</v>
      </c>
      <c r="CZ173" s="229">
        <v>7016</v>
      </c>
      <c r="DA173" s="229">
        <v>50502</v>
      </c>
      <c r="DB173" s="216">
        <v>-43486</v>
      </c>
      <c r="DC173" s="229">
        <v>22210</v>
      </c>
      <c r="DD173" s="229">
        <v>23110</v>
      </c>
      <c r="DE173" s="151"/>
      <c r="DG173" s="229">
        <v>-57</v>
      </c>
      <c r="DH173" s="229">
        <v>30309</v>
      </c>
      <c r="DI173" s="229">
        <v>32086</v>
      </c>
      <c r="DJ173" s="229">
        <v>1871</v>
      </c>
      <c r="DK173" s="229">
        <v>50699</v>
      </c>
      <c r="DL173" s="229">
        <v>907</v>
      </c>
      <c r="DM173" s="229">
        <v>80007</v>
      </c>
      <c r="DN173" s="131">
        <v>0</v>
      </c>
      <c r="DO173" s="131">
        <v>-20400</v>
      </c>
      <c r="DP173" s="131">
        <v>-50048</v>
      </c>
      <c r="DQ173" s="130">
        <v>9559</v>
      </c>
      <c r="DR173" s="130">
        <v>12848</v>
      </c>
      <c r="DS173" s="130">
        <v>32691</v>
      </c>
      <c r="DT173" s="167"/>
      <c r="DU173" s="183">
        <v>-493</v>
      </c>
      <c r="DV173" s="183">
        <v>-1963</v>
      </c>
      <c r="DW173" s="180">
        <v>64144</v>
      </c>
      <c r="DX173" s="130">
        <v>22210</v>
      </c>
      <c r="DY173" s="229">
        <v>19234</v>
      </c>
      <c r="DZ173" s="229">
        <v>1433</v>
      </c>
      <c r="EA173" s="229">
        <v>1543</v>
      </c>
      <c r="EB173" s="212">
        <v>21.75</v>
      </c>
      <c r="EC173" s="208"/>
      <c r="ED173" s="183">
        <v>1</v>
      </c>
      <c r="EE173" s="3">
        <v>31074</v>
      </c>
      <c r="EF173" s="183">
        <v>32097</v>
      </c>
      <c r="EG173" s="130">
        <v>34562</v>
      </c>
      <c r="EH173" s="130"/>
      <c r="EI173" s="130"/>
      <c r="EJ173" s="130"/>
      <c r="EK173" s="183">
        <v>-1461</v>
      </c>
      <c r="EL173" s="183">
        <v>80</v>
      </c>
      <c r="EM173" s="183">
        <v>25</v>
      </c>
      <c r="EN173" s="226">
        <v>-4049</v>
      </c>
      <c r="EO173" s="226">
        <v>1090</v>
      </c>
      <c r="EP173" s="226">
        <v>62</v>
      </c>
      <c r="EQ173" s="226">
        <v>-21252</v>
      </c>
      <c r="ER173" s="230">
        <v>964</v>
      </c>
      <c r="ES173" s="230">
        <v>51741</v>
      </c>
      <c r="ET173" s="3">
        <v>1000</v>
      </c>
      <c r="EU173" s="211">
        <v>102</v>
      </c>
      <c r="EV173" s="183">
        <v>4000</v>
      </c>
      <c r="EW173" s="183">
        <v>2360</v>
      </c>
      <c r="EX173" s="130">
        <v>0</v>
      </c>
      <c r="EY173" s="183">
        <v>-559</v>
      </c>
      <c r="EZ173" s="3">
        <v>11637</v>
      </c>
      <c r="FA173" s="3">
        <v>8156</v>
      </c>
      <c r="FB173" s="3">
        <v>3481</v>
      </c>
      <c r="FC173" s="3">
        <v>2595</v>
      </c>
      <c r="FD173" s="226">
        <v>15875</v>
      </c>
      <c r="FE173" s="183">
        <v>10193</v>
      </c>
      <c r="FF173" s="183">
        <v>5682</v>
      </c>
      <c r="FG173" s="183">
        <v>2503</v>
      </c>
      <c r="FH173" s="230">
        <v>13352</v>
      </c>
      <c r="FI173" s="130">
        <v>8589</v>
      </c>
      <c r="FJ173" s="130">
        <v>4763</v>
      </c>
      <c r="FK173" s="130">
        <v>2384</v>
      </c>
      <c r="FL173" s="29">
        <v>4493.3117742172572</v>
      </c>
      <c r="FM173" s="139">
        <v>5177.4820574162677</v>
      </c>
      <c r="FN173" s="139">
        <v>4930.2503052503052</v>
      </c>
      <c r="FO173" s="172">
        <f t="shared" si="6"/>
        <v>884.32183908045977</v>
      </c>
      <c r="FP173" s="170">
        <f t="shared" si="7"/>
        <v>134.96975565941082</v>
      </c>
      <c r="FR173" s="175"/>
      <c r="FS173" s="195"/>
      <c r="FV173" s="175">
        <v>1862</v>
      </c>
      <c r="FW173" s="2">
        <f t="shared" si="8"/>
        <v>-1862</v>
      </c>
      <c r="FZ173" s="186"/>
      <c r="GA173" s="2"/>
      <c r="GB173" s="2"/>
    </row>
    <row r="174" spans="1:184" ht="13" x14ac:dyDescent="0.3">
      <c r="A174" s="77">
        <v>576</v>
      </c>
      <c r="B174" s="75" t="s">
        <v>169</v>
      </c>
      <c r="C174" s="179">
        <v>2963</v>
      </c>
      <c r="D174" s="138"/>
      <c r="E174" s="142">
        <v>0.71224732461355533</v>
      </c>
      <c r="F174" s="142">
        <v>45.813993467423067</v>
      </c>
      <c r="G174" s="183">
        <v>-1343.9082011474857</v>
      </c>
      <c r="H174" s="144"/>
      <c r="I174" s="186"/>
      <c r="K174" s="210">
        <v>66.033795329409529</v>
      </c>
      <c r="L174" s="143">
        <v>2126.2234222072225</v>
      </c>
      <c r="M174" s="146">
        <v>90.972029908612569</v>
      </c>
      <c r="N174" s="143">
        <v>8530.8808639891995</v>
      </c>
      <c r="O174" s="138">
        <v>4829</v>
      </c>
      <c r="P174" s="143">
        <v>3067</v>
      </c>
      <c r="Q174" s="184">
        <v>22116</v>
      </c>
      <c r="R174" s="184">
        <v>-19049</v>
      </c>
      <c r="S174" s="139">
        <v>10764</v>
      </c>
      <c r="T174" s="138">
        <v>9437</v>
      </c>
      <c r="U174" s="151"/>
      <c r="W174" s="183">
        <v>54</v>
      </c>
      <c r="X174" s="183">
        <v>-78</v>
      </c>
      <c r="Y174" s="184">
        <v>1128</v>
      </c>
      <c r="Z174" s="130">
        <v>1588</v>
      </c>
      <c r="AA174" s="130">
        <v>0</v>
      </c>
      <c r="AB174" s="130">
        <v>0</v>
      </c>
      <c r="AC174" s="184">
        <v>-460</v>
      </c>
      <c r="AD174" s="183">
        <v>150</v>
      </c>
      <c r="AE174" s="183">
        <v>90</v>
      </c>
      <c r="AF174" s="183">
        <v>0</v>
      </c>
      <c r="AG174" s="183">
        <v>-220</v>
      </c>
      <c r="AH174" s="183">
        <v>3285</v>
      </c>
      <c r="AI174" s="183">
        <v>1112</v>
      </c>
      <c r="AJ174" s="167"/>
      <c r="AK174" s="183">
        <v>234</v>
      </c>
      <c r="AL174" s="183">
        <v>-1612</v>
      </c>
      <c r="AM174" s="180">
        <v>-120</v>
      </c>
      <c r="AN174" s="139">
        <v>10764</v>
      </c>
      <c r="AO174" s="138">
        <v>8126</v>
      </c>
      <c r="AP174" s="184">
        <v>1172</v>
      </c>
      <c r="AQ174" s="138">
        <v>1466</v>
      </c>
      <c r="AR174" s="109">
        <v>21</v>
      </c>
      <c r="AS174" s="144"/>
      <c r="AT174" s="139">
        <v>78</v>
      </c>
      <c r="AU174" s="228">
        <v>2896</v>
      </c>
      <c r="AV174" s="138"/>
      <c r="AW174" s="224">
        <v>0.73351800554016622</v>
      </c>
      <c r="AX174" s="225">
        <v>50.075375802213898</v>
      </c>
      <c r="AY174" s="139">
        <v>-1707.1823204419888</v>
      </c>
      <c r="AZ174" s="144"/>
      <c r="BA174"/>
      <c r="BC174" s="189">
        <v>63.434166484186818</v>
      </c>
      <c r="BD174" s="183">
        <v>2020.7182320441989</v>
      </c>
      <c r="BE174" s="140">
        <v>82.014283520196585</v>
      </c>
      <c r="BF174" s="139">
        <v>8993.0939226519331</v>
      </c>
      <c r="BG174" s="184">
        <v>4879</v>
      </c>
      <c r="BH174" s="216">
        <v>3406</v>
      </c>
      <c r="BI174" s="216">
        <v>22485</v>
      </c>
      <c r="BJ174" s="216">
        <v>-19079</v>
      </c>
      <c r="BK174" s="216">
        <v>10314</v>
      </c>
      <c r="BL174" s="216">
        <v>9497</v>
      </c>
      <c r="BM174" s="151"/>
      <c r="BO174" s="216">
        <v>77</v>
      </c>
      <c r="BP174" s="216">
        <v>114</v>
      </c>
      <c r="BQ174" s="216">
        <v>923</v>
      </c>
      <c r="BR174" s="216">
        <v>1512</v>
      </c>
      <c r="BS174" s="216">
        <v>0</v>
      </c>
      <c r="BT174" s="216">
        <v>0</v>
      </c>
      <c r="BU174" s="216">
        <v>-589</v>
      </c>
      <c r="BV174" s="183">
        <v>-145</v>
      </c>
      <c r="BW174" s="183">
        <v>370</v>
      </c>
      <c r="BX174" s="183">
        <v>0</v>
      </c>
      <c r="BY174" s="183">
        <v>-364</v>
      </c>
      <c r="BZ174" s="183">
        <v>2920</v>
      </c>
      <c r="CA174" s="183">
        <v>548</v>
      </c>
      <c r="CB174" s="167"/>
      <c r="CC174" s="183">
        <v>-453</v>
      </c>
      <c r="CD174" s="183">
        <v>-1482</v>
      </c>
      <c r="CE174" s="180">
        <v>-943</v>
      </c>
      <c r="CF174" s="139">
        <v>10314</v>
      </c>
      <c r="CG174" s="216">
        <v>7635</v>
      </c>
      <c r="CH174" s="216">
        <v>1216</v>
      </c>
      <c r="CI174" s="216">
        <v>1463</v>
      </c>
      <c r="CJ174" s="212">
        <v>21</v>
      </c>
      <c r="CK174" s="144"/>
      <c r="CL174" s="130">
        <v>85</v>
      </c>
      <c r="CM174" s="228">
        <v>2861</v>
      </c>
      <c r="CN174" s="138"/>
      <c r="CO174" s="142">
        <v>2.1134751773049647</v>
      </c>
      <c r="CP174" s="142">
        <v>44.914082559747186</v>
      </c>
      <c r="CQ174" s="183">
        <v>-858.09157637189799</v>
      </c>
      <c r="CR174" s="144"/>
      <c r="CS174"/>
      <c r="CU174" s="232">
        <v>66.122533625644365</v>
      </c>
      <c r="CV174" s="143">
        <v>2859.8392170569732</v>
      </c>
      <c r="CW174" s="146">
        <v>119.73018482139278</v>
      </c>
      <c r="CX174" s="143">
        <v>8718.280321565886</v>
      </c>
      <c r="CY174" s="131">
        <v>4785</v>
      </c>
      <c r="CZ174" s="229">
        <v>3471</v>
      </c>
      <c r="DA174" s="229">
        <v>21904</v>
      </c>
      <c r="DB174" s="216">
        <v>-18433</v>
      </c>
      <c r="DC174" s="229">
        <v>10736</v>
      </c>
      <c r="DD174" s="229">
        <v>11108</v>
      </c>
      <c r="DE174" s="151"/>
      <c r="DG174" s="229">
        <v>26</v>
      </c>
      <c r="DH174" s="229">
        <v>76</v>
      </c>
      <c r="DI174" s="229">
        <v>3513</v>
      </c>
      <c r="DJ174" s="229">
        <v>1474</v>
      </c>
      <c r="DK174" s="229">
        <v>0</v>
      </c>
      <c r="DL174" s="229">
        <v>0</v>
      </c>
      <c r="DM174" s="229">
        <v>2039</v>
      </c>
      <c r="DN174" s="130">
        <v>161</v>
      </c>
      <c r="DO174" s="130">
        <v>51</v>
      </c>
      <c r="DP174" s="130">
        <v>0</v>
      </c>
      <c r="DQ174" s="130">
        <v>2251</v>
      </c>
      <c r="DR174" s="130">
        <v>5173</v>
      </c>
      <c r="DS174" s="130">
        <v>3440</v>
      </c>
      <c r="DT174" s="167"/>
      <c r="DU174" s="183">
        <v>97</v>
      </c>
      <c r="DV174" s="183">
        <v>-1629</v>
      </c>
      <c r="DW174" s="180">
        <v>2475</v>
      </c>
      <c r="DX174" s="130">
        <v>10736</v>
      </c>
      <c r="DY174" s="229">
        <v>8096</v>
      </c>
      <c r="DZ174" s="229">
        <v>1313</v>
      </c>
      <c r="EA174" s="229">
        <v>1327</v>
      </c>
      <c r="EB174" s="212">
        <v>21</v>
      </c>
      <c r="EC174" s="208"/>
      <c r="ED174" s="183">
        <v>8</v>
      </c>
      <c r="EE174" s="3">
        <v>15138</v>
      </c>
      <c r="EF174" s="183">
        <v>15536</v>
      </c>
      <c r="EG174" s="130">
        <v>15329</v>
      </c>
      <c r="EH174" s="130"/>
      <c r="EI174" s="130"/>
      <c r="EJ174" s="130"/>
      <c r="EK174" s="183">
        <v>-1300</v>
      </c>
      <c r="EL174" s="183">
        <v>38</v>
      </c>
      <c r="EM174" s="183">
        <v>30</v>
      </c>
      <c r="EN174" s="226">
        <v>-1983</v>
      </c>
      <c r="EO174" s="226">
        <v>105</v>
      </c>
      <c r="EP174" s="226">
        <v>387</v>
      </c>
      <c r="EQ174" s="226">
        <v>-1285</v>
      </c>
      <c r="ER174" s="230">
        <v>242</v>
      </c>
      <c r="ES174" s="230">
        <v>78</v>
      </c>
      <c r="ET174" s="3">
        <v>1600</v>
      </c>
      <c r="EU174" s="211">
        <v>0</v>
      </c>
      <c r="EV174" s="183">
        <v>1800</v>
      </c>
      <c r="EW174" s="183">
        <v>0</v>
      </c>
      <c r="EX174" s="130">
        <v>1550</v>
      </c>
      <c r="EY174" s="183">
        <v>0</v>
      </c>
      <c r="EZ174" s="3">
        <v>8547</v>
      </c>
      <c r="FA174" s="3">
        <v>7065</v>
      </c>
      <c r="FB174" s="3">
        <v>1482</v>
      </c>
      <c r="FC174" s="3">
        <v>792</v>
      </c>
      <c r="FD174" s="226">
        <v>8865</v>
      </c>
      <c r="FE174" s="183">
        <v>7313</v>
      </c>
      <c r="FF174" s="183">
        <v>1552</v>
      </c>
      <c r="FG174" s="183">
        <v>803</v>
      </c>
      <c r="FH174" s="230">
        <v>8785</v>
      </c>
      <c r="FI174" s="130">
        <v>7225</v>
      </c>
      <c r="FJ174" s="130">
        <v>1560</v>
      </c>
      <c r="FK174" s="130">
        <v>822</v>
      </c>
      <c r="FL174" s="29">
        <v>4042.186972662842</v>
      </c>
      <c r="FM174" s="139">
        <v>4112.5690607734814</v>
      </c>
      <c r="FN174" s="139">
        <v>4147.5008738203423</v>
      </c>
      <c r="FO174" s="172">
        <f t="shared" si="6"/>
        <v>385.52380952380952</v>
      </c>
      <c r="FP174" s="170">
        <f t="shared" si="7"/>
        <v>134.7514189177943</v>
      </c>
      <c r="FR174" s="175"/>
      <c r="FS174" s="195"/>
      <c r="FV174" s="175">
        <v>1794</v>
      </c>
      <c r="FW174" s="2">
        <f t="shared" si="8"/>
        <v>-1794</v>
      </c>
      <c r="FZ174" s="186"/>
      <c r="GA174" s="2"/>
      <c r="GB174" s="2"/>
    </row>
    <row r="175" spans="1:184" ht="13" x14ac:dyDescent="0.3">
      <c r="A175" s="77">
        <v>577</v>
      </c>
      <c r="B175" s="75" t="s">
        <v>170</v>
      </c>
      <c r="C175" s="179">
        <v>10832</v>
      </c>
      <c r="D175" s="138"/>
      <c r="E175" s="142">
        <v>2.2757660167130918</v>
      </c>
      <c r="F175" s="142">
        <v>94.213674096346168</v>
      </c>
      <c r="G175" s="183">
        <v>-4834.3796159527328</v>
      </c>
      <c r="H175" s="144"/>
      <c r="I175" s="186"/>
      <c r="K175" s="210">
        <v>33.867930948438172</v>
      </c>
      <c r="L175" s="143">
        <v>258.49335302806497</v>
      </c>
      <c r="M175" s="146">
        <v>15.249861975319694</v>
      </c>
      <c r="N175" s="143">
        <v>6186.9460856720825</v>
      </c>
      <c r="O175" s="138">
        <v>20756</v>
      </c>
      <c r="P175" s="143">
        <v>6665</v>
      </c>
      <c r="Q175" s="184">
        <v>61312</v>
      </c>
      <c r="R175" s="184">
        <v>-54647</v>
      </c>
      <c r="S175" s="139">
        <v>41088</v>
      </c>
      <c r="T175" s="138">
        <v>13443</v>
      </c>
      <c r="U175" s="151"/>
      <c r="W175" s="183">
        <v>174</v>
      </c>
      <c r="X175" s="183">
        <v>470</v>
      </c>
      <c r="Y175" s="184">
        <v>528</v>
      </c>
      <c r="Z175" s="130">
        <v>1904</v>
      </c>
      <c r="AA175" s="130">
        <v>0</v>
      </c>
      <c r="AB175" s="130">
        <v>0</v>
      </c>
      <c r="AC175" s="184">
        <v>-1376</v>
      </c>
      <c r="AD175" s="183">
        <v>84</v>
      </c>
      <c r="AE175" s="183">
        <v>0</v>
      </c>
      <c r="AF175" s="183">
        <v>0</v>
      </c>
      <c r="AG175" s="183">
        <v>-1292</v>
      </c>
      <c r="AH175" s="183">
        <v>11705</v>
      </c>
      <c r="AI175" s="183">
        <v>-128</v>
      </c>
      <c r="AJ175" s="167"/>
      <c r="AK175" s="183">
        <v>350</v>
      </c>
      <c r="AL175" s="183">
        <v>-70</v>
      </c>
      <c r="AM175" s="180">
        <v>-4622</v>
      </c>
      <c r="AN175" s="139">
        <v>41088</v>
      </c>
      <c r="AO175" s="138">
        <v>37406</v>
      </c>
      <c r="AP175" s="184">
        <v>1345</v>
      </c>
      <c r="AQ175" s="138">
        <v>2337</v>
      </c>
      <c r="AR175" s="109">
        <v>20.75</v>
      </c>
      <c r="AS175" s="144"/>
      <c r="AT175" s="139">
        <v>232</v>
      </c>
      <c r="AU175" s="228">
        <v>10850</v>
      </c>
      <c r="AV175" s="138"/>
      <c r="AW175" s="224">
        <v>4.4929722624684462E-2</v>
      </c>
      <c r="AX175" s="225">
        <v>104.93642948179925</v>
      </c>
      <c r="AY175" s="139">
        <v>-5424.4239631336404</v>
      </c>
      <c r="AZ175" s="144"/>
      <c r="BA175"/>
      <c r="BC175" s="189">
        <v>29.234411013517722</v>
      </c>
      <c r="BD175" s="183">
        <v>530.78341013824877</v>
      </c>
      <c r="BE175" s="140">
        <v>27.020875914285348</v>
      </c>
      <c r="BF175" s="139">
        <v>7169.8617511520733</v>
      </c>
      <c r="BG175" s="184">
        <v>21158</v>
      </c>
      <c r="BH175" s="216">
        <v>6519</v>
      </c>
      <c r="BI175" s="216">
        <v>64901</v>
      </c>
      <c r="BJ175" s="216">
        <v>-58382</v>
      </c>
      <c r="BK175" s="216">
        <v>43495</v>
      </c>
      <c r="BL175" s="216">
        <v>14324</v>
      </c>
      <c r="BM175" s="151"/>
      <c r="BO175" s="216">
        <v>184</v>
      </c>
      <c r="BP175" s="216">
        <v>489</v>
      </c>
      <c r="BQ175" s="216">
        <v>110</v>
      </c>
      <c r="BR175" s="216">
        <v>2172</v>
      </c>
      <c r="BS175" s="216">
        <v>360</v>
      </c>
      <c r="BT175" s="216">
        <v>0</v>
      </c>
      <c r="BU175" s="216">
        <v>-1702</v>
      </c>
      <c r="BV175" s="183">
        <v>84</v>
      </c>
      <c r="BW175" s="183">
        <v>0</v>
      </c>
      <c r="BX175" s="183">
        <v>0</v>
      </c>
      <c r="BY175" s="183">
        <v>-1618</v>
      </c>
      <c r="BZ175" s="183">
        <v>10087</v>
      </c>
      <c r="CA175" s="183">
        <v>-223</v>
      </c>
      <c r="CB175" s="167"/>
      <c r="CC175" s="183">
        <v>-627</v>
      </c>
      <c r="CD175" s="183">
        <v>-5282</v>
      </c>
      <c r="CE175" s="180">
        <v>-6595</v>
      </c>
      <c r="CF175" s="139">
        <v>43495</v>
      </c>
      <c r="CG175" s="216">
        <v>39807</v>
      </c>
      <c r="CH175" s="216">
        <v>1302</v>
      </c>
      <c r="CI175" s="216">
        <v>2386</v>
      </c>
      <c r="CJ175" s="212">
        <v>20.75</v>
      </c>
      <c r="CK175" s="144"/>
      <c r="CL175" s="130">
        <v>227</v>
      </c>
      <c r="CM175" s="228">
        <v>10922</v>
      </c>
      <c r="CN175" s="138"/>
      <c r="CO175" s="142">
        <v>1.3352071005917159</v>
      </c>
      <c r="CP175" s="142">
        <v>89.405483405483409</v>
      </c>
      <c r="CQ175" s="183">
        <v>-5143.8381248855521</v>
      </c>
      <c r="CR175" s="144"/>
      <c r="CS175"/>
      <c r="CU175" s="232">
        <v>32.289245207538194</v>
      </c>
      <c r="CV175" s="143">
        <v>224.68412378685221</v>
      </c>
      <c r="CW175" s="146">
        <v>12.577900102509373</v>
      </c>
      <c r="CX175" s="143">
        <v>6520.1428309833364</v>
      </c>
      <c r="CY175" s="131">
        <v>21854</v>
      </c>
      <c r="CZ175" s="229">
        <v>6200</v>
      </c>
      <c r="DA175" s="229">
        <v>65804</v>
      </c>
      <c r="DB175" s="216">
        <v>-59604</v>
      </c>
      <c r="DC175" s="229">
        <v>44007</v>
      </c>
      <c r="DD175" s="229">
        <v>19093</v>
      </c>
      <c r="DE175" s="151"/>
      <c r="DG175" s="229">
        <v>229</v>
      </c>
      <c r="DH175" s="229">
        <v>554</v>
      </c>
      <c r="DI175" s="229">
        <v>4279</v>
      </c>
      <c r="DJ175" s="229">
        <v>2573</v>
      </c>
      <c r="DK175" s="229">
        <v>0</v>
      </c>
      <c r="DL175" s="229">
        <v>0</v>
      </c>
      <c r="DM175" s="229">
        <v>1706</v>
      </c>
      <c r="DN175" s="130">
        <v>84</v>
      </c>
      <c r="DO175" s="130">
        <v>0</v>
      </c>
      <c r="DP175" s="130">
        <v>0</v>
      </c>
      <c r="DQ175" s="130">
        <v>1790</v>
      </c>
      <c r="DR175" s="130">
        <v>11877</v>
      </c>
      <c r="DS175" s="130">
        <v>4069</v>
      </c>
      <c r="DT175" s="167"/>
      <c r="DU175" s="183">
        <v>-572</v>
      </c>
      <c r="DV175" s="183">
        <v>-3146</v>
      </c>
      <c r="DW175" s="180">
        <v>2473</v>
      </c>
      <c r="DX175" s="130">
        <v>44007</v>
      </c>
      <c r="DY175" s="229">
        <v>40486</v>
      </c>
      <c r="DZ175" s="229">
        <v>1342</v>
      </c>
      <c r="EA175" s="229">
        <v>2179</v>
      </c>
      <c r="EB175" s="212">
        <v>20.75</v>
      </c>
      <c r="EC175" s="208"/>
      <c r="ED175" s="183">
        <v>259.52205882352899</v>
      </c>
      <c r="EE175" s="3">
        <v>34874</v>
      </c>
      <c r="EF175" s="183">
        <v>37496</v>
      </c>
      <c r="EG175" s="130">
        <v>37480</v>
      </c>
      <c r="EH175" s="130"/>
      <c r="EI175" s="130"/>
      <c r="EJ175" s="130"/>
      <c r="EK175" s="183">
        <v>-5334</v>
      </c>
      <c r="EL175" s="183">
        <v>68</v>
      </c>
      <c r="EM175" s="183">
        <v>772</v>
      </c>
      <c r="EN175" s="226">
        <v>-7341</v>
      </c>
      <c r="EO175" s="226">
        <v>124</v>
      </c>
      <c r="EP175" s="226">
        <v>845</v>
      </c>
      <c r="EQ175" s="226">
        <v>-2015</v>
      </c>
      <c r="ER175" s="230">
        <v>108</v>
      </c>
      <c r="ES175" s="230">
        <v>311</v>
      </c>
      <c r="ET175" s="3">
        <v>4000</v>
      </c>
      <c r="EU175" s="211">
        <v>22</v>
      </c>
      <c r="EV175" s="183">
        <v>16500</v>
      </c>
      <c r="EW175" s="183">
        <v>-1000</v>
      </c>
      <c r="EX175" s="130">
        <v>10000</v>
      </c>
      <c r="EY175" s="183">
        <v>-13000</v>
      </c>
      <c r="EZ175" s="3">
        <v>50653</v>
      </c>
      <c r="FA175" s="3">
        <v>10546</v>
      </c>
      <c r="FB175" s="3">
        <v>40107</v>
      </c>
      <c r="FC175" s="3">
        <v>17339</v>
      </c>
      <c r="FD175" s="226">
        <v>60871</v>
      </c>
      <c r="FE175" s="183">
        <v>23725</v>
      </c>
      <c r="FF175" s="183">
        <v>37146</v>
      </c>
      <c r="FG175" s="183">
        <v>17339</v>
      </c>
      <c r="FH175" s="230">
        <v>54725</v>
      </c>
      <c r="FI175" s="130">
        <v>30975</v>
      </c>
      <c r="FJ175" s="130">
        <v>23750</v>
      </c>
      <c r="FK175" s="130">
        <v>17339</v>
      </c>
      <c r="FL175" s="29">
        <v>5744.460856720827</v>
      </c>
      <c r="FM175" s="139">
        <v>6583.5944700460823</v>
      </c>
      <c r="FN175" s="139">
        <v>5925.5630836843065</v>
      </c>
      <c r="FO175" s="172">
        <f t="shared" si="6"/>
        <v>1951.132530120482</v>
      </c>
      <c r="FP175" s="170">
        <f t="shared" si="7"/>
        <v>178.64242172866525</v>
      </c>
      <c r="FR175" s="175"/>
      <c r="FS175" s="195"/>
      <c r="FV175" s="175">
        <v>2808</v>
      </c>
      <c r="FW175" s="2">
        <f t="shared" si="8"/>
        <v>-2808</v>
      </c>
      <c r="FZ175" s="186"/>
      <c r="GA175" s="2"/>
      <c r="GB175" s="2"/>
    </row>
    <row r="176" spans="1:184" ht="13" x14ac:dyDescent="0.3">
      <c r="A176" s="77">
        <v>578</v>
      </c>
      <c r="B176" s="75" t="s">
        <v>171</v>
      </c>
      <c r="C176" s="179">
        <v>3336</v>
      </c>
      <c r="D176" s="138"/>
      <c r="E176" s="142">
        <v>0.23898071625344353</v>
      </c>
      <c r="F176" s="142">
        <v>64.746939652086766</v>
      </c>
      <c r="G176" s="183">
        <v>-3514.388489208633</v>
      </c>
      <c r="H176" s="144"/>
      <c r="I176" s="186"/>
      <c r="K176" s="210">
        <v>33.997129529960532</v>
      </c>
      <c r="L176" s="143">
        <v>1541.6666666666667</v>
      </c>
      <c r="M176" s="146">
        <v>59.724316757341477</v>
      </c>
      <c r="N176" s="143">
        <v>9421.7625899280574</v>
      </c>
      <c r="O176" s="138">
        <v>6863</v>
      </c>
      <c r="P176" s="143">
        <v>4310</v>
      </c>
      <c r="Q176" s="184">
        <v>27569</v>
      </c>
      <c r="R176" s="184">
        <v>-23259</v>
      </c>
      <c r="S176" s="139">
        <v>10688</v>
      </c>
      <c r="T176" s="138">
        <v>12940</v>
      </c>
      <c r="U176" s="151"/>
      <c r="W176" s="183">
        <v>-35</v>
      </c>
      <c r="X176" s="183">
        <v>-22</v>
      </c>
      <c r="Y176" s="184">
        <v>312</v>
      </c>
      <c r="Z176" s="130">
        <v>1269</v>
      </c>
      <c r="AA176" s="131">
        <v>0</v>
      </c>
      <c r="AB176" s="130">
        <v>0</v>
      </c>
      <c r="AC176" s="184">
        <v>-957</v>
      </c>
      <c r="AD176" s="184">
        <v>20</v>
      </c>
      <c r="AE176" s="183">
        <v>0</v>
      </c>
      <c r="AF176" s="184">
        <v>0</v>
      </c>
      <c r="AG176" s="183">
        <v>-937</v>
      </c>
      <c r="AH176" s="183">
        <v>1256</v>
      </c>
      <c r="AI176" s="183">
        <v>314</v>
      </c>
      <c r="AJ176" s="167"/>
      <c r="AK176" s="183">
        <v>125</v>
      </c>
      <c r="AL176" s="183">
        <v>-1417</v>
      </c>
      <c r="AM176" s="180">
        <v>-1607</v>
      </c>
      <c r="AN176" s="139">
        <v>10688</v>
      </c>
      <c r="AO176" s="138">
        <v>8812</v>
      </c>
      <c r="AP176" s="184">
        <v>598</v>
      </c>
      <c r="AQ176" s="138">
        <v>1278</v>
      </c>
      <c r="AR176" s="109">
        <v>22</v>
      </c>
      <c r="AS176" s="144"/>
      <c r="AT176" s="139">
        <v>217</v>
      </c>
      <c r="AU176" s="228">
        <v>3273</v>
      </c>
      <c r="AV176" s="138"/>
      <c r="AW176" s="224">
        <v>0.38799468791500663</v>
      </c>
      <c r="AX176" s="225">
        <v>72.039461883408066</v>
      </c>
      <c r="AY176" s="139">
        <v>-3776.9630308585397</v>
      </c>
      <c r="AZ176" s="144"/>
      <c r="BA176"/>
      <c r="BC176" s="189">
        <v>30.501653991747094</v>
      </c>
      <c r="BD176" s="183">
        <v>1849.6791934005498</v>
      </c>
      <c r="BE176" s="140">
        <v>71.228121071463107</v>
      </c>
      <c r="BF176" s="139">
        <v>9478.4601283226402</v>
      </c>
      <c r="BG176" s="184">
        <v>6679</v>
      </c>
      <c r="BH176" s="216">
        <v>3747</v>
      </c>
      <c r="BI176" s="216">
        <v>27626</v>
      </c>
      <c r="BJ176" s="216">
        <v>-23879</v>
      </c>
      <c r="BK176" s="216">
        <v>11246</v>
      </c>
      <c r="BL176" s="216">
        <v>12882</v>
      </c>
      <c r="BM176" s="151"/>
      <c r="BO176" s="216">
        <v>-103</v>
      </c>
      <c r="BP176" s="216">
        <v>664</v>
      </c>
      <c r="BQ176" s="216">
        <v>810</v>
      </c>
      <c r="BR176" s="216">
        <v>1341</v>
      </c>
      <c r="BS176" s="216">
        <v>0</v>
      </c>
      <c r="BT176" s="216">
        <v>0</v>
      </c>
      <c r="BU176" s="216">
        <v>-531</v>
      </c>
      <c r="BV176" s="184">
        <v>20</v>
      </c>
      <c r="BW176" s="183">
        <v>0</v>
      </c>
      <c r="BX176" s="184">
        <v>186</v>
      </c>
      <c r="BY176" s="183">
        <v>-325</v>
      </c>
      <c r="BZ176" s="183">
        <v>931</v>
      </c>
      <c r="CA176" s="183">
        <v>962</v>
      </c>
      <c r="CB176" s="167"/>
      <c r="CC176" s="183">
        <v>-443</v>
      </c>
      <c r="CD176" s="183">
        <v>-1333</v>
      </c>
      <c r="CE176" s="180">
        <v>-616</v>
      </c>
      <c r="CF176" s="139">
        <v>11246</v>
      </c>
      <c r="CG176" s="216">
        <v>9333</v>
      </c>
      <c r="CH176" s="216">
        <v>623</v>
      </c>
      <c r="CI176" s="216">
        <v>1290</v>
      </c>
      <c r="CJ176" s="212">
        <v>22</v>
      </c>
      <c r="CK176" s="144"/>
      <c r="CL176" s="130">
        <v>112</v>
      </c>
      <c r="CM176" s="228">
        <v>3235</v>
      </c>
      <c r="CN176" s="138"/>
      <c r="CO176" s="142">
        <v>0.32916892992938618</v>
      </c>
      <c r="CP176" s="142">
        <v>73.700062313923695</v>
      </c>
      <c r="CQ176" s="183">
        <v>-4025.3634395298486</v>
      </c>
      <c r="CR176" s="144"/>
      <c r="CS176"/>
      <c r="CU176" s="232">
        <v>27.042282083347416</v>
      </c>
      <c r="CV176" s="143">
        <v>1948.9638107021342</v>
      </c>
      <c r="CW176" s="146">
        <v>72.711508061966484</v>
      </c>
      <c r="CX176" s="143">
        <v>9783.4828332817815</v>
      </c>
      <c r="CY176" s="131">
        <v>6226</v>
      </c>
      <c r="CZ176" s="229">
        <v>3294</v>
      </c>
      <c r="DA176" s="229">
        <v>28537</v>
      </c>
      <c r="DB176" s="216">
        <v>-25243</v>
      </c>
      <c r="DC176" s="229">
        <v>11302</v>
      </c>
      <c r="DD176" s="229">
        <v>14292</v>
      </c>
      <c r="DE176" s="151"/>
      <c r="DG176" s="229">
        <v>-208</v>
      </c>
      <c r="DH176" s="229">
        <v>255</v>
      </c>
      <c r="DI176" s="229">
        <v>398</v>
      </c>
      <c r="DJ176" s="229">
        <v>1341</v>
      </c>
      <c r="DK176" s="229">
        <v>0</v>
      </c>
      <c r="DL176" s="229">
        <v>0</v>
      </c>
      <c r="DM176" s="229">
        <v>-943</v>
      </c>
      <c r="DN176" s="131">
        <v>20</v>
      </c>
      <c r="DO176" s="130">
        <v>0</v>
      </c>
      <c r="DP176" s="131">
        <v>0</v>
      </c>
      <c r="DQ176" s="130">
        <v>-923</v>
      </c>
      <c r="DR176" s="130">
        <v>8</v>
      </c>
      <c r="DS176" s="130">
        <v>399</v>
      </c>
      <c r="DT176" s="167"/>
      <c r="DU176" s="183">
        <v>-309</v>
      </c>
      <c r="DV176" s="183">
        <v>-1633</v>
      </c>
      <c r="DW176" s="180">
        <v>-771</v>
      </c>
      <c r="DX176" s="130">
        <v>11302</v>
      </c>
      <c r="DY176" s="229">
        <v>9417</v>
      </c>
      <c r="DZ176" s="229">
        <v>699</v>
      </c>
      <c r="EA176" s="229">
        <v>1186</v>
      </c>
      <c r="EB176" s="212">
        <v>22</v>
      </c>
      <c r="EC176" s="208"/>
      <c r="ED176" s="183">
        <v>286.72058823529397</v>
      </c>
      <c r="EE176" s="3">
        <v>18542</v>
      </c>
      <c r="EF176" s="183">
        <v>18698</v>
      </c>
      <c r="EG176" s="130">
        <v>20178</v>
      </c>
      <c r="EH176" s="130"/>
      <c r="EI176" s="130"/>
      <c r="EJ176" s="130"/>
      <c r="EK176" s="183">
        <v>-2333</v>
      </c>
      <c r="EL176" s="183">
        <v>412</v>
      </c>
      <c r="EM176" s="183">
        <v>0</v>
      </c>
      <c r="EN176" s="226">
        <v>-1894</v>
      </c>
      <c r="EO176" s="226">
        <v>262</v>
      </c>
      <c r="EP176" s="226">
        <v>54</v>
      </c>
      <c r="EQ176" s="226">
        <v>-1252</v>
      </c>
      <c r="ER176" s="230">
        <v>0</v>
      </c>
      <c r="ES176" s="230">
        <v>82</v>
      </c>
      <c r="ET176" s="3">
        <v>2500</v>
      </c>
      <c r="EU176" s="211">
        <v>0</v>
      </c>
      <c r="EV176" s="183">
        <v>4500</v>
      </c>
      <c r="EW176" s="183">
        <v>-500</v>
      </c>
      <c r="EX176" s="130">
        <v>1800</v>
      </c>
      <c r="EY176" s="183">
        <v>-500</v>
      </c>
      <c r="EZ176" s="3">
        <v>14700</v>
      </c>
      <c r="FA176" s="3">
        <v>6367</v>
      </c>
      <c r="FB176" s="3">
        <v>8333</v>
      </c>
      <c r="FC176" s="3">
        <v>389</v>
      </c>
      <c r="FD176" s="226">
        <v>17366</v>
      </c>
      <c r="FE176" s="183">
        <v>9233</v>
      </c>
      <c r="FF176" s="183">
        <v>8133</v>
      </c>
      <c r="FG176" s="183">
        <v>389</v>
      </c>
      <c r="FH176" s="230">
        <v>17033</v>
      </c>
      <c r="FI176" s="130">
        <v>9353</v>
      </c>
      <c r="FJ176" s="130">
        <v>7680</v>
      </c>
      <c r="FK176" s="130">
        <v>389</v>
      </c>
      <c r="FL176" s="29">
        <v>6940.6474820143885</v>
      </c>
      <c r="FM176" s="139">
        <v>8379.1628475404832</v>
      </c>
      <c r="FN176" s="139">
        <v>8816.3833075734165</v>
      </c>
      <c r="FO176" s="172">
        <f t="shared" si="6"/>
        <v>428.04545454545456</v>
      </c>
      <c r="FP176" s="170">
        <f t="shared" si="7"/>
        <v>132.31698749473091</v>
      </c>
      <c r="FR176" s="175"/>
      <c r="FS176" s="195"/>
      <c r="FV176" s="175">
        <v>1344</v>
      </c>
      <c r="FW176" s="2">
        <f t="shared" si="8"/>
        <v>-1344</v>
      </c>
      <c r="FZ176" s="186"/>
      <c r="GA176" s="2"/>
      <c r="GB176" s="2"/>
    </row>
    <row r="177" spans="1:184" ht="13" x14ac:dyDescent="0.3">
      <c r="A177" s="174">
        <v>445</v>
      </c>
      <c r="B177" s="81" t="s">
        <v>378</v>
      </c>
      <c r="C177" s="179">
        <v>15217</v>
      </c>
      <c r="D177" s="138"/>
      <c r="E177" s="142">
        <v>1.175273390036452</v>
      </c>
      <c r="F177" s="142">
        <v>49.934562652875179</v>
      </c>
      <c r="G177" s="183">
        <v>-3058.421502267201</v>
      </c>
      <c r="H177" s="144"/>
      <c r="I177" s="186"/>
      <c r="K177" s="210">
        <v>54.503505958557369</v>
      </c>
      <c r="L177" s="143">
        <v>251.03502661497012</v>
      </c>
      <c r="M177" s="146">
        <v>12.067473299752471</v>
      </c>
      <c r="N177" s="143">
        <v>7592.9552474206484</v>
      </c>
      <c r="O177" s="138">
        <v>49076</v>
      </c>
      <c r="P177" s="143">
        <v>16509</v>
      </c>
      <c r="Q177" s="184">
        <v>107068</v>
      </c>
      <c r="R177" s="184">
        <v>-90559</v>
      </c>
      <c r="S177" s="139">
        <v>65689</v>
      </c>
      <c r="T177" s="138">
        <v>28595</v>
      </c>
      <c r="U177" s="151"/>
      <c r="W177" s="183">
        <v>-858</v>
      </c>
      <c r="X177" s="183">
        <v>139</v>
      </c>
      <c r="Y177" s="184">
        <v>3006</v>
      </c>
      <c r="Z177" s="130">
        <v>4960</v>
      </c>
      <c r="AA177" s="131">
        <v>0</v>
      </c>
      <c r="AB177" s="131">
        <v>0</v>
      </c>
      <c r="AC177" s="184">
        <v>-1954</v>
      </c>
      <c r="AD177" s="184">
        <v>42</v>
      </c>
      <c r="AE177" s="184">
        <v>0</v>
      </c>
      <c r="AF177" s="184">
        <v>0</v>
      </c>
      <c r="AG177" s="183">
        <v>-1912</v>
      </c>
      <c r="AH177" s="183">
        <v>10813</v>
      </c>
      <c r="AI177" s="183">
        <v>2895</v>
      </c>
      <c r="AJ177" s="167"/>
      <c r="AK177" s="183">
        <v>846</v>
      </c>
      <c r="AL177" s="183">
        <v>-2429</v>
      </c>
      <c r="AM177" s="180">
        <v>-1457</v>
      </c>
      <c r="AN177" s="139">
        <v>65689</v>
      </c>
      <c r="AO177" s="138">
        <v>54276</v>
      </c>
      <c r="AP177" s="184">
        <v>2304</v>
      </c>
      <c r="AQ177" s="138">
        <v>9109</v>
      </c>
      <c r="AR177" s="109">
        <v>19.75</v>
      </c>
      <c r="AS177" s="144"/>
      <c r="AT177" s="139">
        <v>172</v>
      </c>
      <c r="AU177" s="228">
        <v>15132</v>
      </c>
      <c r="AV177" s="138"/>
      <c r="AW177" s="224">
        <v>5.5321160343831513E-2</v>
      </c>
      <c r="AX177" s="225">
        <v>52.446981331392202</v>
      </c>
      <c r="AY177" s="139">
        <v>-3303.3967750462598</v>
      </c>
      <c r="AZ177" s="144"/>
      <c r="BA177"/>
      <c r="BC177" s="189">
        <v>50.767617882756596</v>
      </c>
      <c r="BD177" s="183">
        <v>198.25535289452813</v>
      </c>
      <c r="BE177" s="140">
        <v>9.1475639911782398</v>
      </c>
      <c r="BF177" s="139">
        <v>7910.6529209621995</v>
      </c>
      <c r="BG177" s="184">
        <v>50193</v>
      </c>
      <c r="BH177" s="216">
        <v>16945</v>
      </c>
      <c r="BI177" s="216">
        <v>112389</v>
      </c>
      <c r="BJ177" s="216">
        <v>-95444</v>
      </c>
      <c r="BK177" s="216">
        <v>67047</v>
      </c>
      <c r="BL177" s="216">
        <v>28657</v>
      </c>
      <c r="BM177" s="151"/>
      <c r="BO177" s="216">
        <v>-811</v>
      </c>
      <c r="BP177" s="216">
        <v>134</v>
      </c>
      <c r="BQ177" s="216">
        <v>-417</v>
      </c>
      <c r="BR177" s="216">
        <v>4997</v>
      </c>
      <c r="BS177" s="216">
        <v>0</v>
      </c>
      <c r="BT177" s="216">
        <v>0</v>
      </c>
      <c r="BU177" s="216">
        <v>-5414</v>
      </c>
      <c r="BV177" s="184">
        <v>42</v>
      </c>
      <c r="BW177" s="184">
        <v>0</v>
      </c>
      <c r="BX177" s="184">
        <v>0</v>
      </c>
      <c r="BY177" s="183">
        <v>-5372</v>
      </c>
      <c r="BZ177" s="183">
        <v>5440</v>
      </c>
      <c r="CA177" s="183">
        <v>-842</v>
      </c>
      <c r="CB177" s="167"/>
      <c r="CC177" s="183">
        <v>-1131</v>
      </c>
      <c r="CD177" s="183">
        <v>-2224</v>
      </c>
      <c r="CE177" s="180">
        <v>-3721</v>
      </c>
      <c r="CF177" s="139">
        <v>67047</v>
      </c>
      <c r="CG177" s="216">
        <v>55114</v>
      </c>
      <c r="CH177" s="216">
        <v>2534</v>
      </c>
      <c r="CI177" s="216">
        <v>9399</v>
      </c>
      <c r="CJ177" s="212">
        <v>19.75</v>
      </c>
      <c r="CK177" s="144"/>
      <c r="CL177" s="130">
        <v>238</v>
      </c>
      <c r="CM177" s="228">
        <v>15105</v>
      </c>
      <c r="CN177" s="138"/>
      <c r="CO177" s="142">
        <v>2.2998357963875207</v>
      </c>
      <c r="CP177" s="142">
        <v>47.757052694352872</v>
      </c>
      <c r="CQ177" s="183">
        <v>-3176.8950678583251</v>
      </c>
      <c r="CR177" s="144"/>
      <c r="CS177"/>
      <c r="CU177" s="232">
        <v>51.804741714703127</v>
      </c>
      <c r="CV177" s="143">
        <v>309.36775902019201</v>
      </c>
      <c r="CW177" s="146">
        <v>13.94207032974219</v>
      </c>
      <c r="CX177" s="143">
        <v>8099.1724594505131</v>
      </c>
      <c r="CY177" s="131">
        <v>51011</v>
      </c>
      <c r="CZ177" s="229">
        <v>16822</v>
      </c>
      <c r="DA177" s="229">
        <v>113855</v>
      </c>
      <c r="DB177" s="216">
        <v>-97033</v>
      </c>
      <c r="DC177" s="229">
        <v>68710</v>
      </c>
      <c r="DD177" s="229">
        <v>35202</v>
      </c>
      <c r="DE177" s="151"/>
      <c r="DG177" s="229">
        <v>-820</v>
      </c>
      <c r="DH177" s="229">
        <v>123</v>
      </c>
      <c r="DI177" s="229">
        <v>6182</v>
      </c>
      <c r="DJ177" s="229">
        <v>4881</v>
      </c>
      <c r="DK177" s="229">
        <v>0</v>
      </c>
      <c r="DL177" s="229">
        <v>200</v>
      </c>
      <c r="DM177" s="229">
        <v>1101</v>
      </c>
      <c r="DN177" s="131">
        <v>42</v>
      </c>
      <c r="DO177" s="131">
        <v>0</v>
      </c>
      <c r="DP177" s="131">
        <v>0</v>
      </c>
      <c r="DQ177" s="130">
        <v>1143</v>
      </c>
      <c r="DR177" s="130">
        <v>6807</v>
      </c>
      <c r="DS177" s="130">
        <v>6321</v>
      </c>
      <c r="DT177" s="167"/>
      <c r="DU177" s="183">
        <v>1094</v>
      </c>
      <c r="DV177" s="183">
        <v>-2224</v>
      </c>
      <c r="DW177" s="180">
        <v>1950</v>
      </c>
      <c r="DX177" s="130">
        <v>68710</v>
      </c>
      <c r="DY177" s="229">
        <v>57437</v>
      </c>
      <c r="DZ177" s="229">
        <v>2600</v>
      </c>
      <c r="EA177" s="229">
        <v>8673</v>
      </c>
      <c r="EB177" s="212">
        <v>20</v>
      </c>
      <c r="EC177" s="208"/>
      <c r="ED177" s="183">
        <v>254.48529411764699</v>
      </c>
      <c r="EE177" s="3">
        <v>47444</v>
      </c>
      <c r="EF177" s="183">
        <v>51168</v>
      </c>
      <c r="EG177" s="130">
        <v>50951</v>
      </c>
      <c r="EH177" s="130"/>
      <c r="EI177" s="130"/>
      <c r="EJ177" s="130"/>
      <c r="EK177" s="183">
        <v>-5172</v>
      </c>
      <c r="EL177" s="183">
        <v>424</v>
      </c>
      <c r="EM177" s="183">
        <v>396</v>
      </c>
      <c r="EN177" s="226">
        <v>-4266</v>
      </c>
      <c r="EO177" s="226">
        <v>694</v>
      </c>
      <c r="EP177" s="226">
        <v>693</v>
      </c>
      <c r="EQ177" s="226">
        <v>-5423</v>
      </c>
      <c r="ER177" s="230">
        <v>416</v>
      </c>
      <c r="ES177" s="230">
        <v>636</v>
      </c>
      <c r="ET177" s="3">
        <v>0</v>
      </c>
      <c r="EU177" s="211">
        <v>-191</v>
      </c>
      <c r="EV177" s="183">
        <v>0</v>
      </c>
      <c r="EW177" s="183">
        <v>5900</v>
      </c>
      <c r="EX177" s="130">
        <v>0</v>
      </c>
      <c r="EY177" s="183">
        <v>66</v>
      </c>
      <c r="EZ177" s="3">
        <v>41283</v>
      </c>
      <c r="FA177" s="3">
        <v>14593</v>
      </c>
      <c r="FB177" s="3">
        <v>26690</v>
      </c>
      <c r="FC177" s="3">
        <v>44</v>
      </c>
      <c r="FD177" s="226">
        <v>44959</v>
      </c>
      <c r="FE177" s="183">
        <v>12369</v>
      </c>
      <c r="FF177" s="183">
        <v>32590</v>
      </c>
      <c r="FG177" s="183">
        <v>44</v>
      </c>
      <c r="FH177" s="230">
        <v>42802</v>
      </c>
      <c r="FI177" s="130">
        <v>10145</v>
      </c>
      <c r="FJ177" s="130">
        <v>32657</v>
      </c>
      <c r="FK177" s="130">
        <v>44</v>
      </c>
      <c r="FL177" s="29">
        <v>3404.4161135572058</v>
      </c>
      <c r="FM177" s="139">
        <v>3612.8072957969866</v>
      </c>
      <c r="FN177" s="139">
        <v>3390.003310162198</v>
      </c>
      <c r="FO177" s="172">
        <f t="shared" si="6"/>
        <v>2871.85</v>
      </c>
      <c r="FP177" s="170">
        <f t="shared" si="7"/>
        <v>190.12578616352201</v>
      </c>
      <c r="FR177" s="175"/>
      <c r="FS177" s="195"/>
      <c r="FV177" s="175">
        <v>2092</v>
      </c>
      <c r="FW177" s="2">
        <f t="shared" si="8"/>
        <v>-2092</v>
      </c>
      <c r="FZ177" s="186"/>
      <c r="GA177" s="2"/>
      <c r="GB177" s="2"/>
    </row>
    <row r="178" spans="1:184" ht="13" x14ac:dyDescent="0.3">
      <c r="A178" s="77">
        <v>580</v>
      </c>
      <c r="B178" s="75" t="s">
        <v>172</v>
      </c>
      <c r="C178" s="179">
        <v>4842</v>
      </c>
      <c r="D178" s="138"/>
      <c r="E178" s="142">
        <v>9.9137931034482758</v>
      </c>
      <c r="F178" s="142">
        <v>15.685937844931198</v>
      </c>
      <c r="G178" s="183">
        <v>538.20735233374637</v>
      </c>
      <c r="H178" s="144"/>
      <c r="I178" s="186"/>
      <c r="K178" s="210">
        <v>83.601999813101585</v>
      </c>
      <c r="L178" s="143">
        <v>1458.6947542337875</v>
      </c>
      <c r="M178" s="146">
        <v>64.100527127156994</v>
      </c>
      <c r="N178" s="143">
        <v>8306.0718711276331</v>
      </c>
      <c r="O178" s="138">
        <v>8714</v>
      </c>
      <c r="P178" s="143">
        <v>9266</v>
      </c>
      <c r="Q178" s="184">
        <v>37400</v>
      </c>
      <c r="R178" s="184">
        <v>-28134</v>
      </c>
      <c r="S178" s="139">
        <v>14846</v>
      </c>
      <c r="T178" s="138">
        <v>16657</v>
      </c>
      <c r="U178" s="151"/>
      <c r="W178" s="183">
        <v>26</v>
      </c>
      <c r="X178" s="183">
        <v>45</v>
      </c>
      <c r="Y178" s="184">
        <v>3440</v>
      </c>
      <c r="Z178" s="130">
        <v>1671</v>
      </c>
      <c r="AA178" s="131">
        <v>0</v>
      </c>
      <c r="AB178" s="131">
        <v>0</v>
      </c>
      <c r="AC178" s="184">
        <v>1769</v>
      </c>
      <c r="AD178" s="184">
        <v>22</v>
      </c>
      <c r="AE178" s="184">
        <v>0</v>
      </c>
      <c r="AF178" s="184">
        <v>-3</v>
      </c>
      <c r="AG178" s="183">
        <v>1788</v>
      </c>
      <c r="AH178" s="183">
        <v>19990</v>
      </c>
      <c r="AI178" s="183">
        <v>1542</v>
      </c>
      <c r="AJ178" s="167"/>
      <c r="AK178" s="183">
        <v>-535</v>
      </c>
      <c r="AL178" s="183">
        <v>-338</v>
      </c>
      <c r="AM178" s="180">
        <v>2594</v>
      </c>
      <c r="AN178" s="139">
        <v>14846</v>
      </c>
      <c r="AO178" s="138">
        <v>12085</v>
      </c>
      <c r="AP178" s="184">
        <v>1439</v>
      </c>
      <c r="AQ178" s="138">
        <v>1322</v>
      </c>
      <c r="AR178" s="109">
        <v>19.5</v>
      </c>
      <c r="AS178" s="144"/>
      <c r="AT178" s="139">
        <v>12</v>
      </c>
      <c r="AU178" s="228">
        <v>4734</v>
      </c>
      <c r="AV178" s="138"/>
      <c r="AW178" s="224">
        <v>-0.6386117136659436</v>
      </c>
      <c r="AX178" s="225">
        <v>14.685769260771211</v>
      </c>
      <c r="AY178" s="139">
        <v>67.173637515842842</v>
      </c>
      <c r="AZ178" s="144"/>
      <c r="BA178"/>
      <c r="BC178" s="189">
        <v>84.301793444650585</v>
      </c>
      <c r="BD178" s="183">
        <v>1088.08618504436</v>
      </c>
      <c r="BE178" s="140">
        <v>45.527775087175513</v>
      </c>
      <c r="BF178" s="139">
        <v>8723.2784114913393</v>
      </c>
      <c r="BG178" s="184">
        <v>8897</v>
      </c>
      <c r="BH178" s="216">
        <v>7278</v>
      </c>
      <c r="BI178" s="216">
        <v>38673</v>
      </c>
      <c r="BJ178" s="216">
        <v>-31395</v>
      </c>
      <c r="BK178" s="216">
        <v>15053</v>
      </c>
      <c r="BL178" s="216">
        <v>16128</v>
      </c>
      <c r="BM178" s="151"/>
      <c r="BO178" s="216">
        <v>-8</v>
      </c>
      <c r="BP178" s="216">
        <v>30</v>
      </c>
      <c r="BQ178" s="216">
        <v>-192</v>
      </c>
      <c r="BR178" s="216">
        <v>1511</v>
      </c>
      <c r="BS178" s="216">
        <v>0</v>
      </c>
      <c r="BT178" s="216">
        <v>0</v>
      </c>
      <c r="BU178" s="216">
        <v>-1703</v>
      </c>
      <c r="BV178" s="184">
        <v>18</v>
      </c>
      <c r="BW178" s="184">
        <v>0</v>
      </c>
      <c r="BX178" s="184">
        <v>-3</v>
      </c>
      <c r="BY178" s="183">
        <v>-1688</v>
      </c>
      <c r="BZ178" s="183">
        <v>18303</v>
      </c>
      <c r="CA178" s="183">
        <v>-117</v>
      </c>
      <c r="CB178" s="167"/>
      <c r="CC178" s="183">
        <v>1122</v>
      </c>
      <c r="CD178" s="183">
        <v>-338</v>
      </c>
      <c r="CE178" s="180">
        <v>-2288</v>
      </c>
      <c r="CF178" s="139">
        <v>15053</v>
      </c>
      <c r="CG178" s="216">
        <v>12262</v>
      </c>
      <c r="CH178" s="216">
        <v>1457</v>
      </c>
      <c r="CI178" s="216">
        <v>1334</v>
      </c>
      <c r="CJ178" s="212">
        <v>19.5</v>
      </c>
      <c r="CK178" s="144"/>
      <c r="CL178" s="130">
        <v>242</v>
      </c>
      <c r="CM178" s="228">
        <v>4655</v>
      </c>
      <c r="CN178" s="138"/>
      <c r="CO178" s="142">
        <v>1.2108843537414966</v>
      </c>
      <c r="CP178" s="142">
        <v>14.639180264180265</v>
      </c>
      <c r="CQ178" s="183">
        <v>123.95273899033297</v>
      </c>
      <c r="CR178" s="144"/>
      <c r="CS178"/>
      <c r="CU178" s="232">
        <v>80.497463185249345</v>
      </c>
      <c r="CV178" s="143">
        <v>1258.6466165413533</v>
      </c>
      <c r="CW178" s="146">
        <v>50.31373517786561</v>
      </c>
      <c r="CX178" s="143">
        <v>9130.8270676691736</v>
      </c>
      <c r="CY178" s="131">
        <v>8779</v>
      </c>
      <c r="CZ178" s="229">
        <v>7362</v>
      </c>
      <c r="DA178" s="229">
        <v>40863</v>
      </c>
      <c r="DB178" s="216">
        <v>-33501</v>
      </c>
      <c r="DC178" s="229">
        <v>15657</v>
      </c>
      <c r="DD178" s="229">
        <v>18165</v>
      </c>
      <c r="DE178" s="151"/>
      <c r="DG178" s="229">
        <v>-6</v>
      </c>
      <c r="DH178" s="229">
        <v>35</v>
      </c>
      <c r="DI178" s="229">
        <v>350</v>
      </c>
      <c r="DJ178" s="229">
        <v>1899</v>
      </c>
      <c r="DK178" s="229">
        <v>0</v>
      </c>
      <c r="DL178" s="229">
        <v>0</v>
      </c>
      <c r="DM178" s="229">
        <v>-1549</v>
      </c>
      <c r="DN178" s="131">
        <v>18</v>
      </c>
      <c r="DO178" s="131">
        <v>0</v>
      </c>
      <c r="DP178" s="131">
        <v>-4</v>
      </c>
      <c r="DQ178" s="130">
        <v>-1535</v>
      </c>
      <c r="DR178" s="130">
        <v>16767</v>
      </c>
      <c r="DS178" s="130">
        <v>1439</v>
      </c>
      <c r="DT178" s="167"/>
      <c r="DU178" s="183">
        <v>68</v>
      </c>
      <c r="DV178" s="183">
        <v>-288</v>
      </c>
      <c r="DW178" s="180">
        <v>262</v>
      </c>
      <c r="DX178" s="130">
        <v>15657</v>
      </c>
      <c r="DY178" s="229">
        <v>12889</v>
      </c>
      <c r="DZ178" s="229">
        <v>1545</v>
      </c>
      <c r="EA178" s="229">
        <v>1223</v>
      </c>
      <c r="EB178" s="212">
        <v>20.5</v>
      </c>
      <c r="EC178" s="208"/>
      <c r="ED178" s="183">
        <v>290.75</v>
      </c>
      <c r="EE178" s="3">
        <v>25710</v>
      </c>
      <c r="EF178" s="183">
        <v>26682</v>
      </c>
      <c r="EG178" s="130">
        <v>28418</v>
      </c>
      <c r="EH178" s="130"/>
      <c r="EI178" s="130"/>
      <c r="EJ178" s="130"/>
      <c r="EK178" s="183">
        <v>-2468</v>
      </c>
      <c r="EL178" s="183">
        <v>182</v>
      </c>
      <c r="EM178" s="183">
        <v>3338</v>
      </c>
      <c r="EN178" s="226">
        <v>-2274</v>
      </c>
      <c r="EO178" s="226">
        <v>48</v>
      </c>
      <c r="EP178" s="226">
        <v>55</v>
      </c>
      <c r="EQ178" s="226">
        <v>-1345</v>
      </c>
      <c r="ER178" s="230">
        <v>69</v>
      </c>
      <c r="ES178" s="230">
        <v>99</v>
      </c>
      <c r="ET178" s="3">
        <v>0</v>
      </c>
      <c r="EU178" s="211">
        <v>0</v>
      </c>
      <c r="EV178" s="183">
        <v>0</v>
      </c>
      <c r="EW178" s="183">
        <v>0</v>
      </c>
      <c r="EX178" s="130">
        <v>0</v>
      </c>
      <c r="EY178" s="183">
        <v>0</v>
      </c>
      <c r="EZ178" s="3">
        <v>1741</v>
      </c>
      <c r="FA178" s="3">
        <v>1403</v>
      </c>
      <c r="FB178" s="3">
        <v>338</v>
      </c>
      <c r="FC178" s="3">
        <v>539</v>
      </c>
      <c r="FD178" s="226">
        <v>1403</v>
      </c>
      <c r="FE178" s="183">
        <v>1115</v>
      </c>
      <c r="FF178" s="183">
        <v>288</v>
      </c>
      <c r="FG178" s="183">
        <v>539</v>
      </c>
      <c r="FH178" s="230">
        <v>1115</v>
      </c>
      <c r="FI178" s="130">
        <v>877</v>
      </c>
      <c r="FJ178" s="130">
        <v>238</v>
      </c>
      <c r="FK178" s="130">
        <v>539</v>
      </c>
      <c r="FL178" s="29">
        <v>986.16274266831886</v>
      </c>
      <c r="FM178" s="139">
        <v>868.82129277566548</v>
      </c>
      <c r="FN178" s="139">
        <v>911.27819548872185</v>
      </c>
      <c r="FO178" s="172">
        <f t="shared" si="6"/>
        <v>628.73170731707319</v>
      </c>
      <c r="FP178" s="170">
        <f t="shared" si="7"/>
        <v>135.06588771580519</v>
      </c>
      <c r="FR178" s="175"/>
      <c r="FS178" s="195"/>
      <c r="FV178" s="175">
        <v>649</v>
      </c>
      <c r="FW178" s="2">
        <f t="shared" si="8"/>
        <v>-649</v>
      </c>
      <c r="FZ178" s="186"/>
      <c r="GA178" s="2"/>
      <c r="GB178" s="2"/>
    </row>
    <row r="179" spans="1:184" ht="13" x14ac:dyDescent="0.3">
      <c r="A179" s="77">
        <v>581</v>
      </c>
      <c r="B179" s="75" t="s">
        <v>173</v>
      </c>
      <c r="C179" s="179">
        <v>6469</v>
      </c>
      <c r="D179" s="138"/>
      <c r="E179" s="142">
        <v>7.0607734806629834</v>
      </c>
      <c r="F179" s="142">
        <v>32.646191975349993</v>
      </c>
      <c r="G179" s="183">
        <v>-2372.0822383675991</v>
      </c>
      <c r="H179" s="144"/>
      <c r="I179" s="186"/>
      <c r="K179" s="210">
        <v>56.286442744706797</v>
      </c>
      <c r="L179" s="143">
        <v>150.25506260627608</v>
      </c>
      <c r="M179" s="146">
        <v>6.0309041766535767</v>
      </c>
      <c r="N179" s="143">
        <v>9093.6775390323073</v>
      </c>
      <c r="O179" s="138">
        <v>11239</v>
      </c>
      <c r="P179" s="143">
        <v>19461</v>
      </c>
      <c r="Q179" s="184">
        <v>56464</v>
      </c>
      <c r="R179" s="184">
        <v>-37003</v>
      </c>
      <c r="S179" s="139">
        <v>22176</v>
      </c>
      <c r="T179" s="138">
        <v>18275</v>
      </c>
      <c r="U179" s="151"/>
      <c r="W179" s="183">
        <v>-169</v>
      </c>
      <c r="X179" s="183">
        <v>384</v>
      </c>
      <c r="Y179" s="184">
        <v>3663</v>
      </c>
      <c r="Z179" s="130">
        <v>1988</v>
      </c>
      <c r="AA179" s="130">
        <v>0</v>
      </c>
      <c r="AB179" s="130">
        <v>0</v>
      </c>
      <c r="AC179" s="184">
        <v>1675</v>
      </c>
      <c r="AD179" s="183">
        <v>0</v>
      </c>
      <c r="AE179" s="183">
        <v>0</v>
      </c>
      <c r="AF179" s="183">
        <v>0</v>
      </c>
      <c r="AG179" s="183">
        <v>1675</v>
      </c>
      <c r="AH179" s="183">
        <v>11997</v>
      </c>
      <c r="AI179" s="183">
        <v>2366</v>
      </c>
      <c r="AJ179" s="167"/>
      <c r="AK179" s="183">
        <v>654</v>
      </c>
      <c r="AL179" s="183">
        <v>-372</v>
      </c>
      <c r="AM179" s="180">
        <v>1971</v>
      </c>
      <c r="AN179" s="139">
        <v>22176</v>
      </c>
      <c r="AO179" s="138">
        <v>18261</v>
      </c>
      <c r="AP179" s="184">
        <v>2013</v>
      </c>
      <c r="AQ179" s="138">
        <v>1902</v>
      </c>
      <c r="AR179" s="109">
        <v>22</v>
      </c>
      <c r="AS179" s="144"/>
      <c r="AT179" s="139">
        <v>27</v>
      </c>
      <c r="AU179" s="228">
        <v>6404</v>
      </c>
      <c r="AV179" s="138"/>
      <c r="AW179" s="224">
        <v>0.60389132036226545</v>
      </c>
      <c r="AX179" s="225">
        <v>38.819829264639807</v>
      </c>
      <c r="AY179" s="139">
        <v>-2881.3241723922547</v>
      </c>
      <c r="AZ179" s="144"/>
      <c r="BA179"/>
      <c r="BC179" s="189">
        <v>51.256085286444957</v>
      </c>
      <c r="BD179" s="183">
        <v>224.23485321673954</v>
      </c>
      <c r="BE179" s="140">
        <v>8.1255716611115414</v>
      </c>
      <c r="BF179" s="139">
        <v>10072.61086820737</v>
      </c>
      <c r="BG179" s="184">
        <v>11613</v>
      </c>
      <c r="BH179" s="216">
        <v>18559</v>
      </c>
      <c r="BI179" s="216">
        <v>58366</v>
      </c>
      <c r="BJ179" s="216">
        <v>-39606</v>
      </c>
      <c r="BK179" s="216">
        <v>23059</v>
      </c>
      <c r="BL179" s="216">
        <v>18475</v>
      </c>
      <c r="BM179" s="151"/>
      <c r="BO179" s="216">
        <v>-203</v>
      </c>
      <c r="BP179" s="216">
        <v>-186</v>
      </c>
      <c r="BQ179" s="216">
        <v>1539</v>
      </c>
      <c r="BR179" s="216">
        <v>1974</v>
      </c>
      <c r="BS179" s="216">
        <v>0</v>
      </c>
      <c r="BT179" s="216">
        <v>0</v>
      </c>
      <c r="BU179" s="216">
        <v>-435</v>
      </c>
      <c r="BV179" s="183">
        <v>0</v>
      </c>
      <c r="BW179" s="183">
        <v>0</v>
      </c>
      <c r="BX179" s="183">
        <v>0</v>
      </c>
      <c r="BY179" s="183">
        <v>-435</v>
      </c>
      <c r="BZ179" s="183">
        <v>11562</v>
      </c>
      <c r="CA179" s="183">
        <v>258</v>
      </c>
      <c r="CB179" s="167"/>
      <c r="CC179" s="183">
        <v>-435</v>
      </c>
      <c r="CD179" s="183">
        <v>-694</v>
      </c>
      <c r="CE179" s="180">
        <v>-2787</v>
      </c>
      <c r="CF179" s="139">
        <v>23059</v>
      </c>
      <c r="CG179" s="216">
        <v>18997</v>
      </c>
      <c r="CH179" s="216">
        <v>2106</v>
      </c>
      <c r="CI179" s="216">
        <v>1956</v>
      </c>
      <c r="CJ179" s="212">
        <v>22</v>
      </c>
      <c r="CK179" s="144"/>
      <c r="CL179" s="130">
        <v>113</v>
      </c>
      <c r="CM179" s="228">
        <v>6352</v>
      </c>
      <c r="CN179" s="138"/>
      <c r="CO179" s="142">
        <v>3.1606334841628958</v>
      </c>
      <c r="CP179" s="142">
        <v>41.250916509930185</v>
      </c>
      <c r="CQ179" s="183">
        <v>-3027.7078085642315</v>
      </c>
      <c r="CR179" s="144"/>
      <c r="CS179"/>
      <c r="CU179" s="232">
        <v>49.050602409638557</v>
      </c>
      <c r="CV179" s="143">
        <v>500</v>
      </c>
      <c r="CW179" s="146">
        <v>17.504303445776582</v>
      </c>
      <c r="CX179" s="143">
        <v>10426.007556675064</v>
      </c>
      <c r="CY179" s="131">
        <v>11002</v>
      </c>
      <c r="CZ179" s="229">
        <v>17422</v>
      </c>
      <c r="DA179" s="229">
        <v>59752</v>
      </c>
      <c r="DB179" s="216">
        <v>-42330</v>
      </c>
      <c r="DC179" s="229">
        <v>23803</v>
      </c>
      <c r="DD179" s="229">
        <v>21633</v>
      </c>
      <c r="DE179" s="151"/>
      <c r="DG179" s="229">
        <v>-190</v>
      </c>
      <c r="DH179" s="229">
        <v>-312</v>
      </c>
      <c r="DI179" s="229">
        <v>2604</v>
      </c>
      <c r="DJ179" s="229">
        <v>2111</v>
      </c>
      <c r="DK179" s="229">
        <v>0</v>
      </c>
      <c r="DL179" s="229">
        <v>0</v>
      </c>
      <c r="DM179" s="229">
        <v>493</v>
      </c>
      <c r="DN179" s="130">
        <v>0</v>
      </c>
      <c r="DO179" s="130">
        <v>0</v>
      </c>
      <c r="DP179" s="130">
        <v>0</v>
      </c>
      <c r="DQ179" s="130">
        <v>493</v>
      </c>
      <c r="DR179" s="130">
        <v>12055</v>
      </c>
      <c r="DS179" s="130">
        <v>2616</v>
      </c>
      <c r="DT179" s="167"/>
      <c r="DU179" s="183">
        <v>-8</v>
      </c>
      <c r="DV179" s="183">
        <v>-694</v>
      </c>
      <c r="DW179" s="180">
        <v>-983</v>
      </c>
      <c r="DX179" s="130">
        <v>23803</v>
      </c>
      <c r="DY179" s="229">
        <v>19782</v>
      </c>
      <c r="DZ179" s="229">
        <v>2249</v>
      </c>
      <c r="EA179" s="229">
        <v>1772</v>
      </c>
      <c r="EB179" s="212">
        <v>22</v>
      </c>
      <c r="EC179" s="208"/>
      <c r="ED179" s="183">
        <v>252.470588235294</v>
      </c>
      <c r="EE179" s="3">
        <v>39477</v>
      </c>
      <c r="EF179" s="183">
        <v>40377</v>
      </c>
      <c r="EG179" s="130">
        <v>41812</v>
      </c>
      <c r="EH179" s="130"/>
      <c r="EI179" s="130"/>
      <c r="EJ179" s="130"/>
      <c r="EK179" s="183">
        <v>-1860</v>
      </c>
      <c r="EL179" s="183">
        <v>142</v>
      </c>
      <c r="EM179" s="183">
        <v>1323</v>
      </c>
      <c r="EN179" s="226">
        <v>-4583</v>
      </c>
      <c r="EO179" s="226">
        <v>164</v>
      </c>
      <c r="EP179" s="226">
        <v>1374</v>
      </c>
      <c r="EQ179" s="226">
        <v>-5124</v>
      </c>
      <c r="ER179" s="230">
        <v>1002</v>
      </c>
      <c r="ES179" s="230">
        <v>523</v>
      </c>
      <c r="ET179" s="3">
        <v>0</v>
      </c>
      <c r="EU179" s="211">
        <v>-1800</v>
      </c>
      <c r="EV179" s="183">
        <v>0</v>
      </c>
      <c r="EW179" s="183">
        <v>5000</v>
      </c>
      <c r="EX179" s="130">
        <v>5000</v>
      </c>
      <c r="EY179" s="183">
        <v>-2500</v>
      </c>
      <c r="EZ179" s="3">
        <v>15770</v>
      </c>
      <c r="FA179" s="3">
        <v>15076</v>
      </c>
      <c r="FB179" s="3">
        <v>694</v>
      </c>
      <c r="FC179" s="3">
        <v>1412</v>
      </c>
      <c r="FD179" s="226">
        <v>20076</v>
      </c>
      <c r="FE179" s="183">
        <v>14382</v>
      </c>
      <c r="FF179" s="183">
        <v>5694</v>
      </c>
      <c r="FG179" s="183">
        <v>1795</v>
      </c>
      <c r="FH179" s="230">
        <v>21883</v>
      </c>
      <c r="FI179" s="130">
        <v>18398</v>
      </c>
      <c r="FJ179" s="130">
        <v>3485</v>
      </c>
      <c r="FK179" s="130">
        <v>1181</v>
      </c>
      <c r="FL179" s="29">
        <v>4243.3142680476112</v>
      </c>
      <c r="FM179" s="139">
        <v>5097.9075577763897</v>
      </c>
      <c r="FN179" s="139">
        <v>5545.4974811083121</v>
      </c>
      <c r="FO179" s="172">
        <f t="shared" si="6"/>
        <v>899.18181818181813</v>
      </c>
      <c r="FP179" s="170">
        <f t="shared" si="7"/>
        <v>141.55885046942981</v>
      </c>
      <c r="FR179" s="175"/>
      <c r="FS179" s="195"/>
      <c r="FV179" s="175">
        <v>954</v>
      </c>
      <c r="FW179" s="2">
        <f t="shared" si="8"/>
        <v>-954</v>
      </c>
      <c r="FZ179" s="186"/>
      <c r="GA179" s="2"/>
      <c r="GB179" s="2"/>
    </row>
    <row r="180" spans="1:184" ht="13" x14ac:dyDescent="0.3">
      <c r="A180" s="77">
        <v>599</v>
      </c>
      <c r="B180" s="75" t="s">
        <v>319</v>
      </c>
      <c r="C180" s="179">
        <v>11016</v>
      </c>
      <c r="D180" s="138"/>
      <c r="E180" s="142">
        <v>0.32019704433497537</v>
      </c>
      <c r="F180" s="142">
        <v>52.189475705253919</v>
      </c>
      <c r="G180" s="183">
        <v>-2847.7668845315902</v>
      </c>
      <c r="H180" s="144"/>
      <c r="I180" s="186"/>
      <c r="K180" s="210">
        <v>47.797643234457539</v>
      </c>
      <c r="L180" s="143">
        <v>292.84676833696443</v>
      </c>
      <c r="M180" s="146">
        <v>15.025521271980196</v>
      </c>
      <c r="N180" s="143">
        <v>7113.834422657952</v>
      </c>
      <c r="O180" s="138">
        <v>26400</v>
      </c>
      <c r="P180" s="143">
        <v>13138</v>
      </c>
      <c r="Q180" s="184">
        <v>73224</v>
      </c>
      <c r="R180" s="184">
        <v>-60086</v>
      </c>
      <c r="S180" s="139">
        <v>34206</v>
      </c>
      <c r="T180" s="138">
        <v>25728</v>
      </c>
      <c r="U180" s="151"/>
      <c r="W180" s="183">
        <v>41</v>
      </c>
      <c r="X180" s="183">
        <v>173</v>
      </c>
      <c r="Y180" s="184">
        <v>62</v>
      </c>
      <c r="Z180" s="130">
        <v>2013</v>
      </c>
      <c r="AA180" s="130">
        <v>0</v>
      </c>
      <c r="AB180" s="130">
        <v>0</v>
      </c>
      <c r="AC180" s="184">
        <v>-1951</v>
      </c>
      <c r="AD180" s="184">
        <v>45</v>
      </c>
      <c r="AE180" s="184">
        <v>0</v>
      </c>
      <c r="AF180" s="184">
        <v>0</v>
      </c>
      <c r="AG180" s="183">
        <v>-1906</v>
      </c>
      <c r="AH180" s="183">
        <v>10253</v>
      </c>
      <c r="AI180" s="183">
        <v>2</v>
      </c>
      <c r="AJ180" s="167"/>
      <c r="AK180" s="183">
        <v>125</v>
      </c>
      <c r="AL180" s="183">
        <v>-200</v>
      </c>
      <c r="AM180" s="180">
        <v>-4676</v>
      </c>
      <c r="AN180" s="139">
        <v>34206</v>
      </c>
      <c r="AO180" s="138">
        <v>29339</v>
      </c>
      <c r="AP180" s="184">
        <v>2665</v>
      </c>
      <c r="AQ180" s="138">
        <v>2202</v>
      </c>
      <c r="AR180" s="109">
        <v>20.5</v>
      </c>
      <c r="AS180" s="144"/>
      <c r="AT180" s="139">
        <v>251</v>
      </c>
      <c r="AU180" s="228">
        <v>11081</v>
      </c>
      <c r="AV180" s="138"/>
      <c r="AW180" s="224">
        <v>-0.33623417721518989</v>
      </c>
      <c r="AX180" s="225">
        <v>58.762996392294689</v>
      </c>
      <c r="AY180" s="139">
        <v>-3460.0667809764464</v>
      </c>
      <c r="AZ180" s="144"/>
      <c r="BA180"/>
      <c r="BC180" s="189">
        <v>41.212584317032039</v>
      </c>
      <c r="BD180" s="183">
        <v>258.00920494540202</v>
      </c>
      <c r="BE180" s="140">
        <v>12.621218901561424</v>
      </c>
      <c r="BF180" s="139">
        <v>7461.5106939806874</v>
      </c>
      <c r="BG180" s="184">
        <v>27432</v>
      </c>
      <c r="BH180" s="216">
        <v>13150</v>
      </c>
      <c r="BI180" s="216">
        <v>77213</v>
      </c>
      <c r="BJ180" s="216">
        <v>-63888</v>
      </c>
      <c r="BK180" s="216">
        <v>35430</v>
      </c>
      <c r="BL180" s="216">
        <v>26537</v>
      </c>
      <c r="BM180" s="151"/>
      <c r="BO180" s="216">
        <v>35</v>
      </c>
      <c r="BP180" s="216">
        <v>176</v>
      </c>
      <c r="BQ180" s="216">
        <v>-1710</v>
      </c>
      <c r="BR180" s="216">
        <v>2297</v>
      </c>
      <c r="BS180" s="216">
        <v>0</v>
      </c>
      <c r="BT180" s="216">
        <v>0</v>
      </c>
      <c r="BU180" s="216">
        <v>-4007</v>
      </c>
      <c r="BV180" s="184">
        <v>45</v>
      </c>
      <c r="BW180" s="184">
        <v>0</v>
      </c>
      <c r="BX180" s="184">
        <v>0</v>
      </c>
      <c r="BY180" s="183">
        <v>-3962</v>
      </c>
      <c r="BZ180" s="183">
        <v>6290</v>
      </c>
      <c r="CA180" s="183">
        <v>-1872</v>
      </c>
      <c r="CB180" s="167"/>
      <c r="CC180" s="183">
        <v>415</v>
      </c>
      <c r="CD180" s="183">
        <v>-50</v>
      </c>
      <c r="CE180" s="180">
        <v>-7168</v>
      </c>
      <c r="CF180" s="139">
        <v>35430</v>
      </c>
      <c r="CG180" s="216">
        <v>30431</v>
      </c>
      <c r="CH180" s="216">
        <v>2645</v>
      </c>
      <c r="CI180" s="216">
        <v>2354</v>
      </c>
      <c r="CJ180" s="212">
        <v>20.5</v>
      </c>
      <c r="CK180" s="144"/>
      <c r="CL180" s="130">
        <v>267</v>
      </c>
      <c r="CM180" s="228">
        <v>11174</v>
      </c>
      <c r="CN180" s="138"/>
      <c r="CO180" s="142">
        <v>75.26136363636364</v>
      </c>
      <c r="CP180" s="142">
        <v>56.512625524032366</v>
      </c>
      <c r="CQ180" s="183">
        <v>-3033.8285305172722</v>
      </c>
      <c r="CR180" s="144"/>
      <c r="CS180"/>
      <c r="CU180" s="232">
        <v>42.944680643707287</v>
      </c>
      <c r="CV180" s="143">
        <v>907.91122248075885</v>
      </c>
      <c r="CW180" s="146">
        <v>47.387128560825161</v>
      </c>
      <c r="CX180" s="143">
        <v>6993.1984965097545</v>
      </c>
      <c r="CY180" s="131">
        <v>27076</v>
      </c>
      <c r="CZ180" s="229">
        <v>13111</v>
      </c>
      <c r="DA180" s="229">
        <v>75845</v>
      </c>
      <c r="DB180" s="216">
        <v>-62734</v>
      </c>
      <c r="DC180" s="229">
        <v>37997</v>
      </c>
      <c r="DD180" s="229">
        <v>31120</v>
      </c>
      <c r="DE180" s="151"/>
      <c r="DG180" s="229">
        <v>-18</v>
      </c>
      <c r="DH180" s="229">
        <v>197</v>
      </c>
      <c r="DI180" s="229">
        <v>6562</v>
      </c>
      <c r="DJ180" s="229">
        <v>2592</v>
      </c>
      <c r="DK180" s="229">
        <v>0</v>
      </c>
      <c r="DL180" s="229">
        <v>0</v>
      </c>
      <c r="DM180" s="229">
        <v>3970</v>
      </c>
      <c r="DN180" s="131">
        <v>45</v>
      </c>
      <c r="DO180" s="131">
        <v>0</v>
      </c>
      <c r="DP180" s="131">
        <v>0</v>
      </c>
      <c r="DQ180" s="130">
        <v>4015</v>
      </c>
      <c r="DR180" s="130">
        <v>10305</v>
      </c>
      <c r="DS180" s="130">
        <v>6440</v>
      </c>
      <c r="DT180" s="167"/>
      <c r="DU180" s="183">
        <v>500</v>
      </c>
      <c r="DV180" s="183">
        <v>-27</v>
      </c>
      <c r="DW180" s="180">
        <v>4722</v>
      </c>
      <c r="DX180" s="130">
        <v>37997</v>
      </c>
      <c r="DY180" s="229">
        <v>32902</v>
      </c>
      <c r="DZ180" s="229">
        <v>2925</v>
      </c>
      <c r="EA180" s="229">
        <v>2170</v>
      </c>
      <c r="EB180" s="212">
        <v>21</v>
      </c>
      <c r="EC180" s="208"/>
      <c r="ED180" s="183">
        <v>191.02205882352899</v>
      </c>
      <c r="EE180" s="3">
        <v>39452</v>
      </c>
      <c r="EF180" s="183">
        <v>42438</v>
      </c>
      <c r="EG180" s="130">
        <v>41560</v>
      </c>
      <c r="EH180" s="130"/>
      <c r="EI180" s="130"/>
      <c r="EJ180" s="130"/>
      <c r="EK180" s="183">
        <v>-4922</v>
      </c>
      <c r="EL180" s="183">
        <v>0</v>
      </c>
      <c r="EM180" s="183">
        <v>244</v>
      </c>
      <c r="EN180" s="226">
        <v>-5544</v>
      </c>
      <c r="EO180" s="226">
        <v>0</v>
      </c>
      <c r="EP180" s="226">
        <v>248</v>
      </c>
      <c r="EQ180" s="226">
        <v>-1896</v>
      </c>
      <c r="ER180" s="230">
        <v>28</v>
      </c>
      <c r="ES180" s="230">
        <v>150</v>
      </c>
      <c r="ET180" s="3">
        <v>0</v>
      </c>
      <c r="EU180" s="211">
        <v>2682</v>
      </c>
      <c r="EV180" s="183">
        <v>1059</v>
      </c>
      <c r="EW180" s="183">
        <v>5000</v>
      </c>
      <c r="EX180" s="130">
        <v>20000</v>
      </c>
      <c r="EY180" s="183">
        <v>-18000</v>
      </c>
      <c r="EZ180" s="3">
        <v>29050</v>
      </c>
      <c r="FA180" s="3">
        <v>0</v>
      </c>
      <c r="FB180" s="3">
        <v>29050</v>
      </c>
      <c r="FC180" s="3">
        <v>3349</v>
      </c>
      <c r="FD180" s="226">
        <v>35059</v>
      </c>
      <c r="FE180" s="183">
        <v>1032</v>
      </c>
      <c r="FF180" s="183">
        <v>34027</v>
      </c>
      <c r="FG180" s="183">
        <v>3131</v>
      </c>
      <c r="FH180" s="230">
        <v>37032</v>
      </c>
      <c r="FI180" s="130">
        <v>20998</v>
      </c>
      <c r="FJ180" s="130">
        <v>16034</v>
      </c>
      <c r="FK180" s="130">
        <v>3399</v>
      </c>
      <c r="FL180" s="29">
        <v>3751.9063180827884</v>
      </c>
      <c r="FM180" s="139">
        <v>4302.1387961375331</v>
      </c>
      <c r="FN180" s="139">
        <v>4553.5170932521933</v>
      </c>
      <c r="FO180" s="172">
        <f t="shared" si="6"/>
        <v>1566.7619047619048</v>
      </c>
      <c r="FP180" s="170">
        <f t="shared" si="7"/>
        <v>140.21495478449123</v>
      </c>
      <c r="FR180" s="175"/>
      <c r="FS180" s="195"/>
      <c r="FV180" s="175">
        <v>1465</v>
      </c>
      <c r="FW180" s="2">
        <f t="shared" si="8"/>
        <v>-1465</v>
      </c>
      <c r="FZ180" s="186"/>
      <c r="GA180" s="2"/>
      <c r="GB180" s="2"/>
    </row>
    <row r="181" spans="1:184" ht="13" x14ac:dyDescent="0.3">
      <c r="A181" s="77">
        <v>583</v>
      </c>
      <c r="B181" s="75" t="s">
        <v>174</v>
      </c>
      <c r="C181" s="179">
        <v>954</v>
      </c>
      <c r="D181" s="138"/>
      <c r="E181" s="142">
        <v>0.79385964912280704</v>
      </c>
      <c r="F181" s="142">
        <v>31.030467688725015</v>
      </c>
      <c r="G181" s="183">
        <v>-1764.1509433962265</v>
      </c>
      <c r="H181" s="144"/>
      <c r="I181" s="186"/>
      <c r="K181" s="210">
        <v>68.332353517538706</v>
      </c>
      <c r="L181" s="143">
        <v>1141.5094339622642</v>
      </c>
      <c r="M181" s="146">
        <v>37.294520547945211</v>
      </c>
      <c r="N181" s="143">
        <v>11171.907756813416</v>
      </c>
      <c r="O181" s="138">
        <v>3513</v>
      </c>
      <c r="P181" s="143">
        <v>1324</v>
      </c>
      <c r="Q181" s="184">
        <v>9951</v>
      </c>
      <c r="R181" s="184">
        <v>-8627</v>
      </c>
      <c r="S181" s="139">
        <v>5021</v>
      </c>
      <c r="T181" s="138">
        <v>3961</v>
      </c>
      <c r="U181" s="151"/>
      <c r="W181" s="183">
        <v>-15</v>
      </c>
      <c r="X181" s="183">
        <v>5</v>
      </c>
      <c r="Y181" s="184">
        <v>345</v>
      </c>
      <c r="Z181" s="130">
        <v>254</v>
      </c>
      <c r="AA181" s="130">
        <v>0</v>
      </c>
      <c r="AB181" s="130">
        <v>0</v>
      </c>
      <c r="AC181" s="184">
        <v>91</v>
      </c>
      <c r="AD181" s="183">
        <v>0</v>
      </c>
      <c r="AE181" s="183">
        <v>0</v>
      </c>
      <c r="AF181" s="183">
        <v>0</v>
      </c>
      <c r="AG181" s="183">
        <v>91</v>
      </c>
      <c r="AH181" s="183">
        <v>2596</v>
      </c>
      <c r="AI181" s="183">
        <v>338</v>
      </c>
      <c r="AJ181" s="167"/>
      <c r="AK181" s="183">
        <v>301</v>
      </c>
      <c r="AL181" s="183">
        <v>-439</v>
      </c>
      <c r="AM181" s="180">
        <v>121</v>
      </c>
      <c r="AN181" s="139">
        <v>5021</v>
      </c>
      <c r="AO181" s="138">
        <v>2688</v>
      </c>
      <c r="AP181" s="184">
        <v>344</v>
      </c>
      <c r="AQ181" s="138">
        <v>1989</v>
      </c>
      <c r="AR181" s="109">
        <v>22.25</v>
      </c>
      <c r="AS181" s="144"/>
      <c r="AT181" s="139">
        <v>91</v>
      </c>
      <c r="AU181" s="228">
        <v>939</v>
      </c>
      <c r="AV181" s="138"/>
      <c r="AW181" s="224">
        <v>-0.7239101717305152</v>
      </c>
      <c r="AX181" s="225">
        <v>32.897906244209743</v>
      </c>
      <c r="AY181" s="139">
        <v>-2324.8136315228967</v>
      </c>
      <c r="AZ181" s="144"/>
      <c r="BA181"/>
      <c r="BC181" s="189">
        <v>62.029795158286781</v>
      </c>
      <c r="BD181" s="183">
        <v>1043.6634717784877</v>
      </c>
      <c r="BE181" s="140">
        <v>29.102595395004474</v>
      </c>
      <c r="BF181" s="139">
        <v>13089.456869009584</v>
      </c>
      <c r="BG181" s="184">
        <v>3659</v>
      </c>
      <c r="BH181" s="216">
        <v>1422</v>
      </c>
      <c r="BI181" s="216">
        <v>11149</v>
      </c>
      <c r="BJ181" s="216">
        <v>-9727</v>
      </c>
      <c r="BK181" s="216">
        <v>5188</v>
      </c>
      <c r="BL181" s="216">
        <v>4184</v>
      </c>
      <c r="BM181" s="151"/>
      <c r="BO181" s="216">
        <v>10</v>
      </c>
      <c r="BP181" s="216">
        <v>55</v>
      </c>
      <c r="BQ181" s="216">
        <v>-290</v>
      </c>
      <c r="BR181" s="216">
        <v>251</v>
      </c>
      <c r="BS181" s="216">
        <v>0</v>
      </c>
      <c r="BT181" s="216">
        <v>0</v>
      </c>
      <c r="BU181" s="216">
        <v>-541</v>
      </c>
      <c r="BV181" s="183">
        <v>0</v>
      </c>
      <c r="BW181" s="183">
        <v>0</v>
      </c>
      <c r="BX181" s="183">
        <v>0</v>
      </c>
      <c r="BY181" s="183">
        <v>-541</v>
      </c>
      <c r="BZ181" s="183">
        <v>2284</v>
      </c>
      <c r="CA181" s="183">
        <v>184</v>
      </c>
      <c r="CB181" s="167"/>
      <c r="CC181" s="183">
        <v>39</v>
      </c>
      <c r="CD181" s="183">
        <v>-416</v>
      </c>
      <c r="CE181" s="180">
        <v>-508</v>
      </c>
      <c r="CF181" s="139">
        <v>5188</v>
      </c>
      <c r="CG181" s="216">
        <v>2826</v>
      </c>
      <c r="CH181" s="216">
        <v>357</v>
      </c>
      <c r="CI181" s="216">
        <v>2005</v>
      </c>
      <c r="CJ181" s="212">
        <v>22.25</v>
      </c>
      <c r="CK181" s="144"/>
      <c r="CL181" s="130">
        <v>279</v>
      </c>
      <c r="CM181" s="228">
        <v>931</v>
      </c>
      <c r="CN181" s="138"/>
      <c r="CO181" s="142">
        <v>1.4</v>
      </c>
      <c r="CP181" s="142">
        <v>53.433835845896148</v>
      </c>
      <c r="CQ181" s="183">
        <v>-3397.422126745435</v>
      </c>
      <c r="CR181" s="144"/>
      <c r="CS181"/>
      <c r="CU181" s="232">
        <v>52.912438932732059</v>
      </c>
      <c r="CV181" s="143">
        <v>2481.2030075187968</v>
      </c>
      <c r="CW181" s="146">
        <v>66.826503923278111</v>
      </c>
      <c r="CX181" s="143">
        <v>13552.094522019333</v>
      </c>
      <c r="CY181" s="131">
        <v>3880</v>
      </c>
      <c r="CZ181" s="229">
        <v>1344</v>
      </c>
      <c r="DA181" s="229">
        <v>10727</v>
      </c>
      <c r="DB181" s="216">
        <v>-9383</v>
      </c>
      <c r="DC181" s="229">
        <v>5142</v>
      </c>
      <c r="DD181" s="229">
        <v>4857</v>
      </c>
      <c r="DE181" s="151"/>
      <c r="DG181" s="229">
        <v>7</v>
      </c>
      <c r="DH181" s="229">
        <v>4</v>
      </c>
      <c r="DI181" s="229">
        <v>627</v>
      </c>
      <c r="DJ181" s="229">
        <v>249</v>
      </c>
      <c r="DK181" s="229">
        <v>0</v>
      </c>
      <c r="DL181" s="229">
        <v>0</v>
      </c>
      <c r="DM181" s="229">
        <v>378</v>
      </c>
      <c r="DN181" s="130">
        <v>0</v>
      </c>
      <c r="DO181" s="130">
        <v>0</v>
      </c>
      <c r="DP181" s="130">
        <v>0</v>
      </c>
      <c r="DQ181" s="130">
        <v>378</v>
      </c>
      <c r="DR181" s="130">
        <v>2662</v>
      </c>
      <c r="DS181" s="130">
        <v>277</v>
      </c>
      <c r="DT181" s="167"/>
      <c r="DU181" s="183">
        <v>-181</v>
      </c>
      <c r="DV181" s="183">
        <v>-443</v>
      </c>
      <c r="DW181" s="180">
        <v>-1109</v>
      </c>
      <c r="DX181" s="130">
        <v>5142</v>
      </c>
      <c r="DY181" s="229">
        <v>2923</v>
      </c>
      <c r="DZ181" s="229">
        <v>407</v>
      </c>
      <c r="EA181" s="229">
        <v>1812</v>
      </c>
      <c r="EB181" s="212">
        <v>22.25</v>
      </c>
      <c r="EC181" s="208"/>
      <c r="ED181" s="183">
        <v>145.691176470588</v>
      </c>
      <c r="EE181" s="3">
        <v>5452</v>
      </c>
      <c r="EF181" s="183">
        <v>6443</v>
      </c>
      <c r="EG181" s="130">
        <v>5803</v>
      </c>
      <c r="EH181" s="130"/>
      <c r="EI181" s="130"/>
      <c r="EJ181" s="130"/>
      <c r="EK181" s="183">
        <v>-220</v>
      </c>
      <c r="EL181" s="183">
        <v>0</v>
      </c>
      <c r="EM181" s="183">
        <v>3</v>
      </c>
      <c r="EN181" s="226">
        <v>-709</v>
      </c>
      <c r="EO181" s="226">
        <v>2</v>
      </c>
      <c r="EP181" s="226">
        <v>15</v>
      </c>
      <c r="EQ181" s="226">
        <v>-1421</v>
      </c>
      <c r="ER181" s="230">
        <v>31</v>
      </c>
      <c r="ES181" s="230">
        <v>4</v>
      </c>
      <c r="ET181" s="3">
        <v>0</v>
      </c>
      <c r="EU181" s="211">
        <v>0</v>
      </c>
      <c r="EV181" s="183">
        <v>750</v>
      </c>
      <c r="EW181" s="183">
        <v>0</v>
      </c>
      <c r="EX181" s="130">
        <v>2900</v>
      </c>
      <c r="EY181" s="183">
        <v>0</v>
      </c>
      <c r="EZ181" s="3">
        <v>1977</v>
      </c>
      <c r="FA181" s="3">
        <v>1561</v>
      </c>
      <c r="FB181" s="3">
        <v>416</v>
      </c>
      <c r="FC181" s="3">
        <v>2265</v>
      </c>
      <c r="FD181" s="226">
        <v>2310</v>
      </c>
      <c r="FE181" s="183">
        <v>1867</v>
      </c>
      <c r="FF181" s="183">
        <v>443</v>
      </c>
      <c r="FG181" s="183">
        <v>2495</v>
      </c>
      <c r="FH181" s="230">
        <v>4768</v>
      </c>
      <c r="FI181" s="130">
        <v>4256</v>
      </c>
      <c r="FJ181" s="130">
        <v>512</v>
      </c>
      <c r="FK181" s="130">
        <v>2412</v>
      </c>
      <c r="FL181" s="29">
        <v>3658.2809224318662</v>
      </c>
      <c r="FM181" s="139">
        <v>4033.0138445154421</v>
      </c>
      <c r="FN181" s="139">
        <v>7114.9301825993552</v>
      </c>
      <c r="FO181" s="172">
        <f t="shared" si="6"/>
        <v>131.37078651685394</v>
      </c>
      <c r="FP181" s="170">
        <f t="shared" si="7"/>
        <v>141.10718208040166</v>
      </c>
      <c r="FR181" s="175"/>
      <c r="FS181" s="195"/>
      <c r="FV181" s="175">
        <v>433</v>
      </c>
      <c r="FW181" s="2">
        <f t="shared" si="8"/>
        <v>-433</v>
      </c>
      <c r="FZ181" s="186"/>
      <c r="GA181" s="2"/>
      <c r="GB181" s="2"/>
    </row>
    <row r="182" spans="1:184" ht="13" x14ac:dyDescent="0.3">
      <c r="A182" s="77">
        <v>854</v>
      </c>
      <c r="B182" s="75" t="s">
        <v>256</v>
      </c>
      <c r="C182" s="179">
        <v>3438</v>
      </c>
      <c r="D182" s="138"/>
      <c r="E182" s="142">
        <v>2.0271186440677966</v>
      </c>
      <c r="F182" s="142">
        <v>26.917172795835281</v>
      </c>
      <c r="G182" s="183">
        <v>-1997.673065735893</v>
      </c>
      <c r="H182" s="144"/>
      <c r="I182" s="186"/>
      <c r="K182" s="210">
        <v>61.718235681369322</v>
      </c>
      <c r="L182" s="143">
        <v>51.774287376381615</v>
      </c>
      <c r="M182" s="146">
        <v>2.1366087871612733</v>
      </c>
      <c r="N182" s="143">
        <v>8844.6771378708545</v>
      </c>
      <c r="O182" s="138">
        <v>13545</v>
      </c>
      <c r="P182" s="143">
        <v>3818</v>
      </c>
      <c r="Q182" s="184">
        <v>29483</v>
      </c>
      <c r="R182" s="184">
        <v>-25665</v>
      </c>
      <c r="S182" s="139">
        <v>11055</v>
      </c>
      <c r="T182" s="138">
        <v>15093</v>
      </c>
      <c r="U182" s="151"/>
      <c r="W182" s="183">
        <v>-20</v>
      </c>
      <c r="X182" s="183">
        <v>115</v>
      </c>
      <c r="Y182" s="184">
        <v>578</v>
      </c>
      <c r="Z182" s="130">
        <v>1152</v>
      </c>
      <c r="AA182" s="130">
        <v>0</v>
      </c>
      <c r="AB182" s="130">
        <v>0</v>
      </c>
      <c r="AC182" s="184">
        <v>-574</v>
      </c>
      <c r="AD182" s="184">
        <v>52</v>
      </c>
      <c r="AE182" s="183">
        <v>0</v>
      </c>
      <c r="AF182" s="183">
        <v>0</v>
      </c>
      <c r="AG182" s="183">
        <v>-522</v>
      </c>
      <c r="AH182" s="183">
        <v>1010</v>
      </c>
      <c r="AI182" s="183">
        <v>608</v>
      </c>
      <c r="AJ182" s="167"/>
      <c r="AK182" s="183">
        <v>211</v>
      </c>
      <c r="AL182" s="183">
        <v>-275</v>
      </c>
      <c r="AM182" s="180">
        <v>1</v>
      </c>
      <c r="AN182" s="139">
        <v>11055</v>
      </c>
      <c r="AO182" s="138">
        <v>9571</v>
      </c>
      <c r="AP182" s="184">
        <v>765</v>
      </c>
      <c r="AQ182" s="138">
        <v>719</v>
      </c>
      <c r="AR182" s="109">
        <v>21</v>
      </c>
      <c r="AS182" s="144"/>
      <c r="AT182" s="139">
        <v>184</v>
      </c>
      <c r="AU182" s="228">
        <v>3373</v>
      </c>
      <c r="AV182" s="138"/>
      <c r="AW182" s="224">
        <v>-1.1151056449069694</v>
      </c>
      <c r="AX182" s="225">
        <v>29.742474916387959</v>
      </c>
      <c r="AY182" s="139">
        <v>-2331.4556774384819</v>
      </c>
      <c r="AZ182" s="144"/>
      <c r="BA182"/>
      <c r="BC182" s="189">
        <v>55.234909381396974</v>
      </c>
      <c r="BD182" s="183">
        <v>21.345982804624963</v>
      </c>
      <c r="BE182" s="140">
        <v>0.82769046644200184</v>
      </c>
      <c r="BF182" s="139">
        <v>9413.2819448562113</v>
      </c>
      <c r="BG182" s="184">
        <v>14205</v>
      </c>
      <c r="BH182" s="216">
        <v>3720</v>
      </c>
      <c r="BI182" s="216">
        <v>30908</v>
      </c>
      <c r="BJ182" s="216">
        <v>-27188</v>
      </c>
      <c r="BK182" s="216">
        <v>11157</v>
      </c>
      <c r="BL182" s="216">
        <v>15023</v>
      </c>
      <c r="BM182" s="151"/>
      <c r="BO182" s="216">
        <v>-19</v>
      </c>
      <c r="BP182" s="216">
        <v>124</v>
      </c>
      <c r="BQ182" s="216">
        <v>-903</v>
      </c>
      <c r="BR182" s="216">
        <v>1159</v>
      </c>
      <c r="BS182" s="216">
        <v>0</v>
      </c>
      <c r="BT182" s="216">
        <v>0</v>
      </c>
      <c r="BU182" s="216">
        <v>-2062</v>
      </c>
      <c r="BV182" s="184">
        <v>52</v>
      </c>
      <c r="BW182" s="183">
        <v>0</v>
      </c>
      <c r="BX182" s="183">
        <v>0</v>
      </c>
      <c r="BY182" s="183">
        <v>-2010</v>
      </c>
      <c r="BZ182" s="183">
        <v>-1000</v>
      </c>
      <c r="CA182" s="183">
        <v>-629</v>
      </c>
      <c r="CB182" s="167"/>
      <c r="CC182" s="183">
        <v>63</v>
      </c>
      <c r="CD182" s="183">
        <v>-229</v>
      </c>
      <c r="CE182" s="180">
        <v>-829</v>
      </c>
      <c r="CF182" s="139">
        <v>11157</v>
      </c>
      <c r="CG182" s="216">
        <v>9545</v>
      </c>
      <c r="CH182" s="216">
        <v>738</v>
      </c>
      <c r="CI182" s="216">
        <v>874</v>
      </c>
      <c r="CJ182" s="212">
        <v>21.25</v>
      </c>
      <c r="CK182" s="144"/>
      <c r="CL182" s="130">
        <v>277</v>
      </c>
      <c r="CM182" s="228">
        <v>3304</v>
      </c>
      <c r="CN182" s="138"/>
      <c r="CO182" s="142">
        <v>8.1532258064516121</v>
      </c>
      <c r="CP182" s="142">
        <v>27.344445467661235</v>
      </c>
      <c r="CQ182" s="183">
        <v>-2075.0605326876512</v>
      </c>
      <c r="CR182" s="144"/>
      <c r="CS182"/>
      <c r="CU182" s="232">
        <v>57.260025749845028</v>
      </c>
      <c r="CV182" s="143">
        <v>239.1041162227603</v>
      </c>
      <c r="CW182" s="146">
        <v>9.0030598226551763</v>
      </c>
      <c r="CX182" s="143">
        <v>9693.7046004842614</v>
      </c>
      <c r="CY182" s="131">
        <v>14311</v>
      </c>
      <c r="CZ182" s="229">
        <v>3664</v>
      </c>
      <c r="DA182" s="229">
        <v>30758</v>
      </c>
      <c r="DB182" s="216">
        <v>-27094</v>
      </c>
      <c r="DC182" s="229">
        <v>11535</v>
      </c>
      <c r="DD182" s="229">
        <v>17378</v>
      </c>
      <c r="DE182" s="151"/>
      <c r="DG182" s="229">
        <v>-13</v>
      </c>
      <c r="DH182" s="229">
        <v>197</v>
      </c>
      <c r="DI182" s="229">
        <v>2003</v>
      </c>
      <c r="DJ182" s="229">
        <v>1057</v>
      </c>
      <c r="DK182" s="229">
        <v>0</v>
      </c>
      <c r="DL182" s="229">
        <v>0</v>
      </c>
      <c r="DM182" s="229">
        <v>946</v>
      </c>
      <c r="DN182" s="131">
        <v>52</v>
      </c>
      <c r="DO182" s="130">
        <v>0</v>
      </c>
      <c r="DP182" s="130">
        <v>0</v>
      </c>
      <c r="DQ182" s="130">
        <v>998</v>
      </c>
      <c r="DR182" s="130">
        <v>-2</v>
      </c>
      <c r="DS182" s="130">
        <v>1998</v>
      </c>
      <c r="DT182" s="167"/>
      <c r="DU182" s="183">
        <v>-305</v>
      </c>
      <c r="DV182" s="183">
        <v>-229</v>
      </c>
      <c r="DW182" s="180">
        <v>1593</v>
      </c>
      <c r="DX182" s="130">
        <v>11535</v>
      </c>
      <c r="DY182" s="229">
        <v>9936</v>
      </c>
      <c r="DZ182" s="229">
        <v>789</v>
      </c>
      <c r="EA182" s="229">
        <v>810</v>
      </c>
      <c r="EB182" s="212">
        <v>21.25</v>
      </c>
      <c r="EC182" s="208"/>
      <c r="ED182" s="183">
        <v>180.94852941176401</v>
      </c>
      <c r="EE182" s="3">
        <v>12580</v>
      </c>
      <c r="EF182" s="183">
        <v>12943</v>
      </c>
      <c r="EG182" s="130">
        <v>12974</v>
      </c>
      <c r="EH182" s="130"/>
      <c r="EI182" s="130"/>
      <c r="EJ182" s="130">
        <v>470</v>
      </c>
      <c r="EK182" s="183">
        <v>-620</v>
      </c>
      <c r="EL182" s="183">
        <v>13</v>
      </c>
      <c r="EM182" s="183">
        <v>0</v>
      </c>
      <c r="EN182" s="226">
        <v>-358</v>
      </c>
      <c r="EO182" s="226">
        <v>0</v>
      </c>
      <c r="EP182" s="226">
        <v>158</v>
      </c>
      <c r="EQ182" s="226">
        <v>-456</v>
      </c>
      <c r="ER182" s="230">
        <v>40</v>
      </c>
      <c r="ES182" s="230">
        <v>11</v>
      </c>
      <c r="ET182" s="3">
        <v>0</v>
      </c>
      <c r="EU182" s="211">
        <v>-400</v>
      </c>
      <c r="EV182" s="183">
        <v>0</v>
      </c>
      <c r="EW182" s="183">
        <v>1450</v>
      </c>
      <c r="EX182" s="130">
        <v>0</v>
      </c>
      <c r="EY182" s="183">
        <v>-240</v>
      </c>
      <c r="EZ182" s="3">
        <v>3891</v>
      </c>
      <c r="FA182" s="3">
        <v>3162</v>
      </c>
      <c r="FB182" s="3">
        <v>729</v>
      </c>
      <c r="FC182" s="3">
        <v>0</v>
      </c>
      <c r="FD182" s="226">
        <v>5112</v>
      </c>
      <c r="FE182" s="183">
        <v>2934</v>
      </c>
      <c r="FF182" s="183">
        <v>2178</v>
      </c>
      <c r="FG182" s="183">
        <v>190</v>
      </c>
      <c r="FH182" s="230">
        <v>4644</v>
      </c>
      <c r="FI182" s="130">
        <v>2705</v>
      </c>
      <c r="FJ182" s="130">
        <v>1939</v>
      </c>
      <c r="FK182" s="130">
        <v>720</v>
      </c>
      <c r="FL182" s="29">
        <v>2830.4246655031993</v>
      </c>
      <c r="FM182" s="139">
        <v>3371.1829232137561</v>
      </c>
      <c r="FN182" s="139">
        <v>3381.6585956416466</v>
      </c>
      <c r="FO182" s="172">
        <f t="shared" si="6"/>
        <v>467.57647058823528</v>
      </c>
      <c r="FP182" s="170">
        <f t="shared" si="7"/>
        <v>141.51830223614868</v>
      </c>
      <c r="FR182" s="175"/>
      <c r="FS182" s="195"/>
      <c r="FV182" s="175">
        <v>946</v>
      </c>
      <c r="FW182" s="2">
        <f t="shared" si="8"/>
        <v>-946</v>
      </c>
      <c r="FZ182" s="186"/>
      <c r="GA182" s="2"/>
      <c r="GB182" s="2"/>
    </row>
    <row r="183" spans="1:184" ht="13" x14ac:dyDescent="0.3">
      <c r="A183" s="77">
        <v>584</v>
      </c>
      <c r="B183" s="75" t="s">
        <v>175</v>
      </c>
      <c r="C183" s="179">
        <v>2825</v>
      </c>
      <c r="D183" s="138"/>
      <c r="E183" s="142">
        <v>9.0909090909090912E-2</v>
      </c>
      <c r="F183" s="142">
        <v>85.666218034993264</v>
      </c>
      <c r="G183" s="183">
        <v>-3964.6017699115046</v>
      </c>
      <c r="H183" s="144"/>
      <c r="I183" s="186"/>
      <c r="K183" s="210">
        <v>44.778876762164622</v>
      </c>
      <c r="L183" s="143">
        <v>2195.7522123893805</v>
      </c>
      <c r="M183" s="146">
        <v>82.791348228324864</v>
      </c>
      <c r="N183" s="143">
        <v>9680.353982300885</v>
      </c>
      <c r="O183" s="138">
        <v>6702</v>
      </c>
      <c r="P183" s="143">
        <v>3184</v>
      </c>
      <c r="Q183" s="184">
        <v>22312</v>
      </c>
      <c r="R183" s="184">
        <v>-19128</v>
      </c>
      <c r="S183" s="139">
        <v>7715</v>
      </c>
      <c r="T183" s="138">
        <v>11391</v>
      </c>
      <c r="U183" s="151"/>
      <c r="W183" s="183">
        <v>150</v>
      </c>
      <c r="X183" s="183">
        <v>-184</v>
      </c>
      <c r="Y183" s="184">
        <v>-56</v>
      </c>
      <c r="Z183" s="130">
        <v>1413</v>
      </c>
      <c r="AA183" s="130">
        <v>0</v>
      </c>
      <c r="AB183" s="130">
        <v>0</v>
      </c>
      <c r="AC183" s="184">
        <v>-1469</v>
      </c>
      <c r="AD183" s="184">
        <v>6</v>
      </c>
      <c r="AE183" s="183">
        <v>60</v>
      </c>
      <c r="AF183" s="183">
        <v>0</v>
      </c>
      <c r="AG183" s="183">
        <v>-1403</v>
      </c>
      <c r="AH183" s="183">
        <v>3070</v>
      </c>
      <c r="AI183" s="183">
        <v>-281</v>
      </c>
      <c r="AJ183" s="167"/>
      <c r="AK183" s="183">
        <v>-236</v>
      </c>
      <c r="AL183" s="183">
        <v>-34</v>
      </c>
      <c r="AM183" s="180">
        <v>-4133</v>
      </c>
      <c r="AN183" s="139">
        <v>7715</v>
      </c>
      <c r="AO183" s="138">
        <v>6365</v>
      </c>
      <c r="AP183" s="184">
        <v>613</v>
      </c>
      <c r="AQ183" s="138">
        <v>737</v>
      </c>
      <c r="AR183" s="109">
        <v>21.5</v>
      </c>
      <c r="AS183" s="144"/>
      <c r="AT183" s="139">
        <v>258</v>
      </c>
      <c r="AU183" s="228">
        <v>2759</v>
      </c>
      <c r="AV183" s="138"/>
      <c r="AW183" s="224">
        <v>0.47936619365190791</v>
      </c>
      <c r="AX183" s="225">
        <v>88.007745266781413</v>
      </c>
      <c r="AY183" s="139">
        <v>-4123.9579557810803</v>
      </c>
      <c r="AZ183" s="144"/>
      <c r="BA183"/>
      <c r="BC183" s="189">
        <v>42.495714206713487</v>
      </c>
      <c r="BD183" s="183">
        <v>2345.0525552736499</v>
      </c>
      <c r="BE183" s="140">
        <v>99.408570466408491</v>
      </c>
      <c r="BF183" s="139">
        <v>8610.3660746647329</v>
      </c>
      <c r="BG183" s="184">
        <v>6815</v>
      </c>
      <c r="BH183" s="216">
        <v>3338</v>
      </c>
      <c r="BI183" s="216">
        <v>22516</v>
      </c>
      <c r="BJ183" s="216">
        <v>-19178</v>
      </c>
      <c r="BK183" s="216">
        <v>7526</v>
      </c>
      <c r="BL183" s="216">
        <v>12376</v>
      </c>
      <c r="BM183" s="151"/>
      <c r="BO183" s="216">
        <v>217</v>
      </c>
      <c r="BP183" s="216">
        <v>166</v>
      </c>
      <c r="BQ183" s="216">
        <v>1107</v>
      </c>
      <c r="BR183" s="216">
        <v>1491</v>
      </c>
      <c r="BS183" s="216">
        <v>0</v>
      </c>
      <c r="BT183" s="216">
        <v>0</v>
      </c>
      <c r="BU183" s="216">
        <v>-384</v>
      </c>
      <c r="BV183" s="184">
        <v>6</v>
      </c>
      <c r="BW183" s="183">
        <v>64</v>
      </c>
      <c r="BX183" s="183">
        <v>400</v>
      </c>
      <c r="BY183" s="183">
        <v>86</v>
      </c>
      <c r="BZ183" s="183">
        <v>3155</v>
      </c>
      <c r="CA183" s="183">
        <v>1097</v>
      </c>
      <c r="CB183" s="167"/>
      <c r="CC183" s="183">
        <v>-911</v>
      </c>
      <c r="CD183" s="183">
        <v>-36</v>
      </c>
      <c r="CE183" s="180">
        <v>-153</v>
      </c>
      <c r="CF183" s="139">
        <v>7526</v>
      </c>
      <c r="CG183" s="216">
        <v>6107</v>
      </c>
      <c r="CH183" s="216">
        <v>646</v>
      </c>
      <c r="CI183" s="216">
        <v>773</v>
      </c>
      <c r="CJ183" s="212">
        <v>21.5</v>
      </c>
      <c r="CK183" s="144"/>
      <c r="CL183" s="130">
        <v>57</v>
      </c>
      <c r="CM183" s="228">
        <v>2706</v>
      </c>
      <c r="CN183" s="138"/>
      <c r="CO183" s="142">
        <v>21.458646616541355</v>
      </c>
      <c r="CP183" s="142">
        <v>84.018796523474862</v>
      </c>
      <c r="CQ183" s="183">
        <v>-3912.0473022912047</v>
      </c>
      <c r="CR183" s="144"/>
      <c r="CS183"/>
      <c r="CU183" s="232">
        <v>44.020598893763115</v>
      </c>
      <c r="CV183" s="143">
        <v>2686.6223207686621</v>
      </c>
      <c r="CW183" s="146">
        <v>108.12721567988264</v>
      </c>
      <c r="CX183" s="143">
        <v>9069.1056910569114</v>
      </c>
      <c r="CY183" s="131">
        <v>6494</v>
      </c>
      <c r="CZ183" s="229">
        <v>3040</v>
      </c>
      <c r="DA183" s="229">
        <v>21537</v>
      </c>
      <c r="DB183" s="216">
        <v>-18497</v>
      </c>
      <c r="DC183" s="229">
        <v>7887</v>
      </c>
      <c r="DD183" s="229">
        <v>13120</v>
      </c>
      <c r="DE183" s="151"/>
      <c r="DG183" s="229">
        <v>482</v>
      </c>
      <c r="DH183" s="229">
        <v>-234</v>
      </c>
      <c r="DI183" s="229">
        <v>2758</v>
      </c>
      <c r="DJ183" s="229">
        <v>1973</v>
      </c>
      <c r="DK183" s="229">
        <v>0</v>
      </c>
      <c r="DL183" s="229">
        <v>0</v>
      </c>
      <c r="DM183" s="229">
        <v>785</v>
      </c>
      <c r="DN183" s="131">
        <v>6</v>
      </c>
      <c r="DO183" s="130">
        <v>50</v>
      </c>
      <c r="DP183" s="130">
        <v>0</v>
      </c>
      <c r="DQ183" s="130">
        <v>841</v>
      </c>
      <c r="DR183" s="130">
        <v>3998</v>
      </c>
      <c r="DS183" s="130">
        <v>2743</v>
      </c>
      <c r="DT183" s="167"/>
      <c r="DU183" s="183">
        <v>257</v>
      </c>
      <c r="DV183" s="183">
        <v>-37</v>
      </c>
      <c r="DW183" s="180">
        <v>558</v>
      </c>
      <c r="DX183" s="130">
        <v>7887</v>
      </c>
      <c r="DY183" s="229">
        <v>6414</v>
      </c>
      <c r="DZ183" s="229">
        <v>720</v>
      </c>
      <c r="EA183" s="229">
        <v>753</v>
      </c>
      <c r="EB183" s="212">
        <v>21.5</v>
      </c>
      <c r="EC183" s="208"/>
      <c r="ED183" s="183">
        <v>31.860294117647101</v>
      </c>
      <c r="EE183" s="3">
        <v>13651</v>
      </c>
      <c r="EF183" s="183">
        <v>13778</v>
      </c>
      <c r="EG183" s="130">
        <v>13216</v>
      </c>
      <c r="EH183" s="130"/>
      <c r="EI183" s="130"/>
      <c r="EJ183" s="130"/>
      <c r="EK183" s="183">
        <v>-4735</v>
      </c>
      <c r="EL183" s="183">
        <v>25</v>
      </c>
      <c r="EM183" s="183">
        <v>858</v>
      </c>
      <c r="EN183" s="226">
        <v>-1268</v>
      </c>
      <c r="EO183" s="226">
        <v>0</v>
      </c>
      <c r="EP183" s="226">
        <v>18</v>
      </c>
      <c r="EQ183" s="226">
        <v>-2618</v>
      </c>
      <c r="ER183" s="230">
        <v>56</v>
      </c>
      <c r="ES183" s="230">
        <v>377</v>
      </c>
      <c r="ET183" s="3">
        <v>6000</v>
      </c>
      <c r="EU183" s="211">
        <v>-2500</v>
      </c>
      <c r="EV183" s="183">
        <v>0</v>
      </c>
      <c r="EW183" s="183">
        <v>2000</v>
      </c>
      <c r="EX183" s="130">
        <v>3200</v>
      </c>
      <c r="EY183" s="183">
        <v>-3000</v>
      </c>
      <c r="EZ183" s="3">
        <v>16612</v>
      </c>
      <c r="FA183" s="3">
        <v>14575</v>
      </c>
      <c r="FB183" s="3">
        <v>2037</v>
      </c>
      <c r="FC183" s="3">
        <v>0</v>
      </c>
      <c r="FD183" s="226">
        <v>18576</v>
      </c>
      <c r="FE183" s="183">
        <v>14539</v>
      </c>
      <c r="FF183" s="183">
        <v>4037</v>
      </c>
      <c r="FG183" s="183">
        <v>0</v>
      </c>
      <c r="FH183" s="230">
        <v>18739</v>
      </c>
      <c r="FI183" s="130">
        <v>17700</v>
      </c>
      <c r="FJ183" s="130">
        <v>1039</v>
      </c>
      <c r="FK183" s="130">
        <v>0</v>
      </c>
      <c r="FL183" s="29">
        <v>6568.141592920354</v>
      </c>
      <c r="FM183" s="139">
        <v>7624.8640811888363</v>
      </c>
      <c r="FN183" s="139">
        <v>7872.5055432372501</v>
      </c>
      <c r="FO183" s="172">
        <f t="shared" si="6"/>
        <v>298.32558139534882</v>
      </c>
      <c r="FP183" s="170">
        <f t="shared" si="7"/>
        <v>110.24596503893157</v>
      </c>
      <c r="FR183" s="175"/>
      <c r="FS183" s="195"/>
      <c r="FV183" s="175">
        <v>755</v>
      </c>
      <c r="FW183" s="2">
        <f t="shared" si="8"/>
        <v>-755</v>
      </c>
      <c r="FZ183" s="186"/>
      <c r="GA183" s="2"/>
      <c r="GB183" s="2"/>
    </row>
    <row r="184" spans="1:184" ht="13" x14ac:dyDescent="0.3">
      <c r="A184" s="77">
        <v>588</v>
      </c>
      <c r="B184" s="75" t="s">
        <v>176</v>
      </c>
      <c r="C184" s="179">
        <v>1713</v>
      </c>
      <c r="D184" s="138"/>
      <c r="E184" s="142">
        <v>-1.532994923857868</v>
      </c>
      <c r="F184" s="142">
        <v>66.643990929705211</v>
      </c>
      <c r="G184" s="183">
        <v>-4026.269702276707</v>
      </c>
      <c r="H184" s="144"/>
      <c r="I184" s="186"/>
      <c r="K184" s="210">
        <v>29.863744075829384</v>
      </c>
      <c r="L184" s="143">
        <v>592.52772913018089</v>
      </c>
      <c r="M184" s="146">
        <v>25.355896242556977</v>
      </c>
      <c r="N184" s="143">
        <v>8529.4804436660834</v>
      </c>
      <c r="O184" s="138">
        <v>3062</v>
      </c>
      <c r="P184" s="143">
        <v>1949</v>
      </c>
      <c r="Q184" s="184">
        <v>13903</v>
      </c>
      <c r="R184" s="184">
        <v>-11954</v>
      </c>
      <c r="S184" s="139">
        <v>5495</v>
      </c>
      <c r="T184" s="138">
        <v>5822</v>
      </c>
      <c r="U184" s="151"/>
      <c r="W184" s="183">
        <v>-31</v>
      </c>
      <c r="X184" s="183">
        <v>31</v>
      </c>
      <c r="Y184" s="184">
        <v>-637</v>
      </c>
      <c r="Z184" s="130">
        <v>713</v>
      </c>
      <c r="AA184" s="130">
        <v>0</v>
      </c>
      <c r="AB184" s="131">
        <v>0</v>
      </c>
      <c r="AC184" s="184">
        <v>-1350</v>
      </c>
      <c r="AD184" s="184">
        <v>0</v>
      </c>
      <c r="AE184" s="183">
        <v>0</v>
      </c>
      <c r="AF184" s="183">
        <v>0</v>
      </c>
      <c r="AG184" s="183">
        <v>-1350</v>
      </c>
      <c r="AH184" s="183">
        <v>-396</v>
      </c>
      <c r="AI184" s="183">
        <v>-637</v>
      </c>
      <c r="AJ184" s="167"/>
      <c r="AK184" s="183">
        <v>-286</v>
      </c>
      <c r="AL184" s="183">
        <v>-361</v>
      </c>
      <c r="AM184" s="180">
        <v>-911</v>
      </c>
      <c r="AN184" s="139">
        <v>5495</v>
      </c>
      <c r="AO184" s="138">
        <v>3876</v>
      </c>
      <c r="AP184" s="184">
        <v>795</v>
      </c>
      <c r="AQ184" s="138">
        <v>824</v>
      </c>
      <c r="AR184" s="109">
        <v>21.5</v>
      </c>
      <c r="AS184" s="144"/>
      <c r="AT184" s="139">
        <v>291</v>
      </c>
      <c r="AU184" s="228">
        <v>1690</v>
      </c>
      <c r="AV184" s="138"/>
      <c r="AW184" s="224">
        <v>-0.45536992840095464</v>
      </c>
      <c r="AX184" s="225">
        <v>69.542550848079884</v>
      </c>
      <c r="AY184" s="139">
        <v>-4416.5680473372777</v>
      </c>
      <c r="AZ184" s="144"/>
      <c r="BA184"/>
      <c r="BC184" s="189">
        <v>23.536622739809992</v>
      </c>
      <c r="BD184" s="183">
        <v>701.18343195266277</v>
      </c>
      <c r="BE184" s="140">
        <v>29.32372881355932</v>
      </c>
      <c r="BF184" s="139">
        <v>8727.8106508875735</v>
      </c>
      <c r="BG184" s="184">
        <v>3015</v>
      </c>
      <c r="BH184" s="216">
        <v>1769</v>
      </c>
      <c r="BI184" s="216">
        <v>14211</v>
      </c>
      <c r="BJ184" s="216">
        <v>-12424</v>
      </c>
      <c r="BK184" s="216">
        <v>5894</v>
      </c>
      <c r="BL184" s="216">
        <v>5956</v>
      </c>
      <c r="BM184" s="151"/>
      <c r="BO184" s="216">
        <v>-29</v>
      </c>
      <c r="BP184" s="216">
        <v>92</v>
      </c>
      <c r="BQ184" s="216">
        <v>-511</v>
      </c>
      <c r="BR184" s="216">
        <v>691</v>
      </c>
      <c r="BS184" s="216">
        <v>0</v>
      </c>
      <c r="BT184" s="216">
        <v>0</v>
      </c>
      <c r="BU184" s="216">
        <v>-1202</v>
      </c>
      <c r="BV184" s="184">
        <v>0</v>
      </c>
      <c r="BW184" s="183">
        <v>0</v>
      </c>
      <c r="BX184" s="183">
        <v>0</v>
      </c>
      <c r="BY184" s="183">
        <v>-1202</v>
      </c>
      <c r="BZ184" s="183">
        <v>-1597</v>
      </c>
      <c r="CA184" s="183">
        <v>-499</v>
      </c>
      <c r="CB184" s="167"/>
      <c r="CC184" s="183">
        <v>83</v>
      </c>
      <c r="CD184" s="183">
        <v>-380</v>
      </c>
      <c r="CE184" s="180">
        <v>-574</v>
      </c>
      <c r="CF184" s="139">
        <v>5894</v>
      </c>
      <c r="CG184" s="216">
        <v>4212</v>
      </c>
      <c r="CH184" s="216">
        <v>848</v>
      </c>
      <c r="CI184" s="216">
        <v>834</v>
      </c>
      <c r="CJ184" s="212">
        <v>21.5</v>
      </c>
      <c r="CK184" s="144"/>
      <c r="CL184" s="130">
        <v>278</v>
      </c>
      <c r="CM184" s="228">
        <v>1654</v>
      </c>
      <c r="CN184" s="138"/>
      <c r="CO184" s="142">
        <v>0.53381642512077299</v>
      </c>
      <c r="CP184" s="142">
        <v>69.250444049733574</v>
      </c>
      <c r="CQ184" s="183">
        <v>-4517.5332527206774</v>
      </c>
      <c r="CR184" s="144"/>
      <c r="CS184"/>
      <c r="CU184" s="232">
        <v>21.056237155134831</v>
      </c>
      <c r="CV184" s="143">
        <v>855.50181378476418</v>
      </c>
      <c r="CW184" s="146">
        <v>35.304873880648024</v>
      </c>
      <c r="CX184" s="143">
        <v>8844.6191051995156</v>
      </c>
      <c r="CY184" s="131">
        <v>3026</v>
      </c>
      <c r="CZ184" s="229">
        <v>1537</v>
      </c>
      <c r="DA184" s="229">
        <v>14000</v>
      </c>
      <c r="DB184" s="216">
        <v>-12463</v>
      </c>
      <c r="DC184" s="229">
        <v>6218</v>
      </c>
      <c r="DD184" s="229">
        <v>6342</v>
      </c>
      <c r="DE184" s="151"/>
      <c r="DG184" s="229">
        <v>-29</v>
      </c>
      <c r="DH184" s="229">
        <v>119</v>
      </c>
      <c r="DI184" s="229">
        <v>187</v>
      </c>
      <c r="DJ184" s="229">
        <v>646</v>
      </c>
      <c r="DK184" s="229">
        <v>0</v>
      </c>
      <c r="DL184" s="229">
        <v>0</v>
      </c>
      <c r="DM184" s="229">
        <v>-459</v>
      </c>
      <c r="DN184" s="131">
        <v>0</v>
      </c>
      <c r="DO184" s="130">
        <v>0</v>
      </c>
      <c r="DP184" s="130">
        <v>0</v>
      </c>
      <c r="DQ184" s="130">
        <v>-459</v>
      </c>
      <c r="DR184" s="130">
        <v>-2056</v>
      </c>
      <c r="DS184" s="130">
        <v>170</v>
      </c>
      <c r="DT184" s="167"/>
      <c r="DU184" s="183">
        <v>-38</v>
      </c>
      <c r="DV184" s="183">
        <v>-380</v>
      </c>
      <c r="DW184" s="180">
        <v>-42</v>
      </c>
      <c r="DX184" s="130">
        <v>6218</v>
      </c>
      <c r="DY184" s="229">
        <v>4418</v>
      </c>
      <c r="DZ184" s="229">
        <v>984</v>
      </c>
      <c r="EA184" s="229">
        <v>816</v>
      </c>
      <c r="EB184" s="212">
        <v>21.5</v>
      </c>
      <c r="EC184" s="208"/>
      <c r="ED184" s="183">
        <v>288.73529411764702</v>
      </c>
      <c r="EE184" s="3">
        <v>9659</v>
      </c>
      <c r="EF184" s="183">
        <v>10147</v>
      </c>
      <c r="EG184" s="130">
        <v>9982</v>
      </c>
      <c r="EH184" s="130"/>
      <c r="EI184" s="130"/>
      <c r="EJ184" s="130">
        <v>235</v>
      </c>
      <c r="EK184" s="183">
        <v>-317</v>
      </c>
      <c r="EL184" s="183">
        <v>33</v>
      </c>
      <c r="EM184" s="183">
        <v>10</v>
      </c>
      <c r="EN184" s="226">
        <v>-143</v>
      </c>
      <c r="EO184" s="226">
        <v>0</v>
      </c>
      <c r="EP184" s="226">
        <v>68</v>
      </c>
      <c r="EQ184" s="226">
        <v>-237</v>
      </c>
      <c r="ER184" s="230">
        <v>0</v>
      </c>
      <c r="ES184" s="230">
        <v>25</v>
      </c>
      <c r="ET184" s="3">
        <v>500</v>
      </c>
      <c r="EU184" s="211">
        <v>0</v>
      </c>
      <c r="EV184" s="183">
        <v>0</v>
      </c>
      <c r="EW184" s="183">
        <v>800</v>
      </c>
      <c r="EX184" s="130">
        <v>0</v>
      </c>
      <c r="EY184" s="183">
        <v>1200</v>
      </c>
      <c r="EZ184" s="3">
        <v>6831</v>
      </c>
      <c r="FA184" s="3">
        <v>6451</v>
      </c>
      <c r="FB184" s="3">
        <v>380</v>
      </c>
      <c r="FC184" s="3">
        <v>224</v>
      </c>
      <c r="FD184" s="226">
        <v>7251</v>
      </c>
      <c r="FE184" s="183">
        <v>6071</v>
      </c>
      <c r="FF184" s="183">
        <v>1180</v>
      </c>
      <c r="FG184" s="183">
        <v>221</v>
      </c>
      <c r="FH184" s="230">
        <v>8072</v>
      </c>
      <c r="FI184" s="130">
        <v>5692</v>
      </c>
      <c r="FJ184" s="130">
        <v>2380</v>
      </c>
      <c r="FK184" s="130">
        <v>212</v>
      </c>
      <c r="FL184" s="29">
        <v>5532.9830706363109</v>
      </c>
      <c r="FM184" s="139">
        <v>6123.6686390532541</v>
      </c>
      <c r="FN184" s="139">
        <v>6663.8452237001211</v>
      </c>
      <c r="FO184" s="172">
        <f t="shared" si="6"/>
        <v>205.48837209302326</v>
      </c>
      <c r="FP184" s="170">
        <f t="shared" si="7"/>
        <v>124.23722617474199</v>
      </c>
      <c r="FR184" s="175"/>
      <c r="FS184" s="195"/>
      <c r="FV184" s="175">
        <v>305</v>
      </c>
      <c r="FW184" s="2">
        <f t="shared" si="8"/>
        <v>-305</v>
      </c>
      <c r="FZ184" s="186"/>
      <c r="GA184" s="2"/>
      <c r="GB184" s="2"/>
    </row>
    <row r="185" spans="1:184" ht="13" x14ac:dyDescent="0.3">
      <c r="A185" s="77">
        <v>592</v>
      </c>
      <c r="B185" s="75" t="s">
        <v>177</v>
      </c>
      <c r="C185" s="179">
        <v>3900</v>
      </c>
      <c r="D185" s="138"/>
      <c r="E185" s="142">
        <v>1.3669724770642202</v>
      </c>
      <c r="F185" s="142">
        <v>52.127337421455067</v>
      </c>
      <c r="G185" s="183">
        <v>-1997.9487179487178</v>
      </c>
      <c r="H185" s="144"/>
      <c r="I185" s="186"/>
      <c r="K185" s="210">
        <v>55.716936464265146</v>
      </c>
      <c r="L185" s="143">
        <v>1322.8205128205129</v>
      </c>
      <c r="M185" s="146">
        <v>67.448778565799842</v>
      </c>
      <c r="N185" s="143">
        <v>7158.4615384615381</v>
      </c>
      <c r="O185" s="138">
        <v>11657</v>
      </c>
      <c r="P185" s="143">
        <v>3089</v>
      </c>
      <c r="Q185" s="184">
        <v>25846</v>
      </c>
      <c r="R185" s="184">
        <v>-22757</v>
      </c>
      <c r="S185" s="139">
        <v>12973</v>
      </c>
      <c r="T185" s="138">
        <v>10356</v>
      </c>
      <c r="U185" s="151"/>
      <c r="W185" s="183">
        <v>-17</v>
      </c>
      <c r="X185" s="183">
        <v>24</v>
      </c>
      <c r="Y185" s="184">
        <v>579</v>
      </c>
      <c r="Z185" s="130">
        <v>968</v>
      </c>
      <c r="AA185" s="130">
        <v>0</v>
      </c>
      <c r="AB185" s="130">
        <v>0</v>
      </c>
      <c r="AC185" s="184">
        <v>-389</v>
      </c>
      <c r="AD185" s="184">
        <v>7</v>
      </c>
      <c r="AE185" s="183">
        <v>0</v>
      </c>
      <c r="AF185" s="183">
        <v>0</v>
      </c>
      <c r="AG185" s="183">
        <v>-382</v>
      </c>
      <c r="AH185" s="183">
        <v>7901</v>
      </c>
      <c r="AI185" s="183">
        <v>578</v>
      </c>
      <c r="AJ185" s="167"/>
      <c r="AK185" s="183">
        <v>-66</v>
      </c>
      <c r="AL185" s="183">
        <v>-419</v>
      </c>
      <c r="AM185" s="180">
        <v>-942</v>
      </c>
      <c r="AN185" s="139">
        <v>12973</v>
      </c>
      <c r="AO185" s="138">
        <v>10870</v>
      </c>
      <c r="AP185" s="184">
        <v>1161</v>
      </c>
      <c r="AQ185" s="138">
        <v>942</v>
      </c>
      <c r="AR185" s="109">
        <v>21.75</v>
      </c>
      <c r="AS185" s="144"/>
      <c r="AT185" s="139">
        <v>198</v>
      </c>
      <c r="AU185" s="228">
        <v>3841</v>
      </c>
      <c r="AV185" s="138"/>
      <c r="AW185" s="224">
        <v>-1.6646583394562822</v>
      </c>
      <c r="AX185" s="225">
        <v>60.663149962321022</v>
      </c>
      <c r="AY185" s="139">
        <v>-2498.3077323613643</v>
      </c>
      <c r="AZ185" s="144"/>
      <c r="BA185"/>
      <c r="BC185" s="189">
        <v>42.821063265563836</v>
      </c>
      <c r="BD185" s="183">
        <v>1495.1835459515753</v>
      </c>
      <c r="BE185" s="140">
        <v>67.976618996659852</v>
      </c>
      <c r="BF185" s="139">
        <v>8028.3780265555843</v>
      </c>
      <c r="BG185" s="184">
        <v>12489</v>
      </c>
      <c r="BH185" s="216">
        <v>3170</v>
      </c>
      <c r="BI185" s="216">
        <v>27585</v>
      </c>
      <c r="BJ185" s="216">
        <v>-24414</v>
      </c>
      <c r="BK185" s="216">
        <v>13364</v>
      </c>
      <c r="BL185" s="216">
        <v>10006</v>
      </c>
      <c r="BM185" s="151"/>
      <c r="BO185" s="216">
        <v>-3</v>
      </c>
      <c r="BP185" s="216">
        <v>-1788</v>
      </c>
      <c r="BQ185" s="216">
        <v>-2835</v>
      </c>
      <c r="BR185" s="216">
        <v>1017</v>
      </c>
      <c r="BS185" s="216">
        <v>0</v>
      </c>
      <c r="BT185" s="216">
        <v>0</v>
      </c>
      <c r="BU185" s="216">
        <v>-3852</v>
      </c>
      <c r="BV185" s="184">
        <v>7</v>
      </c>
      <c r="BW185" s="183">
        <v>0</v>
      </c>
      <c r="BX185" s="183">
        <v>0</v>
      </c>
      <c r="BY185" s="183">
        <v>-3845</v>
      </c>
      <c r="BZ185" s="183">
        <v>4056</v>
      </c>
      <c r="CA185" s="183">
        <v>-893</v>
      </c>
      <c r="CB185" s="167"/>
      <c r="CC185" s="183">
        <v>58</v>
      </c>
      <c r="CD185" s="183">
        <v>-350</v>
      </c>
      <c r="CE185" s="180">
        <v>-1753</v>
      </c>
      <c r="CF185" s="139">
        <v>13364</v>
      </c>
      <c r="CG185" s="216">
        <v>11213</v>
      </c>
      <c r="CH185" s="216">
        <v>1193</v>
      </c>
      <c r="CI185" s="216">
        <v>958</v>
      </c>
      <c r="CJ185" s="212">
        <v>21.75</v>
      </c>
      <c r="CK185" s="144"/>
      <c r="CL185" s="130">
        <v>288</v>
      </c>
      <c r="CM185" s="228">
        <v>3772</v>
      </c>
      <c r="CN185" s="138"/>
      <c r="CO185" s="142">
        <v>5.961267605633803</v>
      </c>
      <c r="CP185" s="142">
        <v>62.868835545773436</v>
      </c>
      <c r="CQ185" s="183">
        <v>-2861.3467656415696</v>
      </c>
      <c r="CR185" s="144"/>
      <c r="CS185"/>
      <c r="CU185" s="232">
        <v>43.345784583088935</v>
      </c>
      <c r="CV185" s="143">
        <v>1807.2640509013786</v>
      </c>
      <c r="CW185" s="146">
        <v>86.887767573418998</v>
      </c>
      <c r="CX185" s="143">
        <v>7591.9936373276778</v>
      </c>
      <c r="CY185" s="131">
        <v>12361</v>
      </c>
      <c r="CZ185" s="229">
        <v>3010</v>
      </c>
      <c r="DA185" s="229">
        <v>27515</v>
      </c>
      <c r="DB185" s="216">
        <v>-24505</v>
      </c>
      <c r="DC185" s="229">
        <v>13774</v>
      </c>
      <c r="DD185" s="229">
        <v>12314</v>
      </c>
      <c r="DE185" s="151"/>
      <c r="DG185" s="229">
        <v>10</v>
      </c>
      <c r="DH185" s="229">
        <v>110</v>
      </c>
      <c r="DI185" s="229">
        <v>1703</v>
      </c>
      <c r="DJ185" s="229">
        <v>947</v>
      </c>
      <c r="DK185" s="229">
        <v>0</v>
      </c>
      <c r="DL185" s="229">
        <v>0</v>
      </c>
      <c r="DM185" s="229">
        <v>756</v>
      </c>
      <c r="DN185" s="131">
        <v>7</v>
      </c>
      <c r="DO185" s="130">
        <v>0</v>
      </c>
      <c r="DP185" s="130">
        <v>0</v>
      </c>
      <c r="DQ185" s="130">
        <v>763</v>
      </c>
      <c r="DR185" s="130">
        <v>4540</v>
      </c>
      <c r="DS185" s="130">
        <v>-242</v>
      </c>
      <c r="DT185" s="167"/>
      <c r="DU185" s="183">
        <v>90</v>
      </c>
      <c r="DV185" s="183">
        <v>-294</v>
      </c>
      <c r="DW185" s="180">
        <v>-979</v>
      </c>
      <c r="DX185" s="130">
        <v>13774</v>
      </c>
      <c r="DY185" s="229">
        <v>11436</v>
      </c>
      <c r="DZ185" s="229">
        <v>1362</v>
      </c>
      <c r="EA185" s="229">
        <v>976</v>
      </c>
      <c r="EB185" s="212">
        <v>21.75</v>
      </c>
      <c r="EC185" s="208"/>
      <c r="ED185" s="183">
        <v>243.404411764705</v>
      </c>
      <c r="EE185" s="3">
        <v>11152</v>
      </c>
      <c r="EF185" s="183">
        <v>11911</v>
      </c>
      <c r="EG185" s="130">
        <v>11952</v>
      </c>
      <c r="EH185" s="130"/>
      <c r="EI185" s="130"/>
      <c r="EJ185" s="130">
        <v>530</v>
      </c>
      <c r="EK185" s="183">
        <v>-1552</v>
      </c>
      <c r="EL185" s="183">
        <v>0</v>
      </c>
      <c r="EM185" s="183">
        <v>32</v>
      </c>
      <c r="EN185" s="226">
        <v>-898</v>
      </c>
      <c r="EO185" s="226">
        <v>35</v>
      </c>
      <c r="EP185" s="226">
        <v>3</v>
      </c>
      <c r="EQ185" s="226">
        <v>-759</v>
      </c>
      <c r="ER185" s="230">
        <v>15</v>
      </c>
      <c r="ES185" s="230">
        <v>7</v>
      </c>
      <c r="ET185" s="3">
        <v>0</v>
      </c>
      <c r="EU185" s="211">
        <v>1100</v>
      </c>
      <c r="EV185" s="183">
        <v>0</v>
      </c>
      <c r="EW185" s="183">
        <v>3700</v>
      </c>
      <c r="EX185" s="130">
        <v>0</v>
      </c>
      <c r="EY185" s="183">
        <v>1700</v>
      </c>
      <c r="EZ185" s="3">
        <v>9370</v>
      </c>
      <c r="FA185" s="3">
        <v>3120</v>
      </c>
      <c r="FB185" s="3">
        <v>6250</v>
      </c>
      <c r="FC185" s="3">
        <v>0</v>
      </c>
      <c r="FD185" s="226">
        <v>12720</v>
      </c>
      <c r="FE185" s="183">
        <v>2826</v>
      </c>
      <c r="FF185" s="183">
        <v>9894</v>
      </c>
      <c r="FG185" s="183">
        <v>0</v>
      </c>
      <c r="FH185" s="230">
        <v>14126</v>
      </c>
      <c r="FI185" s="130">
        <v>2532</v>
      </c>
      <c r="FJ185" s="130">
        <v>11594</v>
      </c>
      <c r="FK185" s="130">
        <v>0</v>
      </c>
      <c r="FL185" s="29">
        <v>5787.6923076923076</v>
      </c>
      <c r="FM185" s="139">
        <v>7072.897682895079</v>
      </c>
      <c r="FN185" s="139">
        <v>7826.8822905620364</v>
      </c>
      <c r="FO185" s="172">
        <f t="shared" si="6"/>
        <v>525.79310344827582</v>
      </c>
      <c r="FP185" s="170">
        <f t="shared" si="7"/>
        <v>139.39371777525869</v>
      </c>
      <c r="FR185" s="175"/>
      <c r="FS185" s="195"/>
      <c r="FV185" s="175">
        <v>596</v>
      </c>
      <c r="FW185" s="2">
        <f t="shared" si="8"/>
        <v>-596</v>
      </c>
      <c r="FZ185" s="186"/>
      <c r="GA185" s="2"/>
      <c r="GB185" s="2"/>
    </row>
    <row r="186" spans="1:184" ht="13" x14ac:dyDescent="0.3">
      <c r="A186" s="77">
        <v>593</v>
      </c>
      <c r="B186" s="75" t="s">
        <v>178</v>
      </c>
      <c r="C186" s="179">
        <v>17933</v>
      </c>
      <c r="D186" s="138"/>
      <c r="E186" s="142">
        <v>1.2643560295324037</v>
      </c>
      <c r="F186" s="142">
        <v>65.415420602256233</v>
      </c>
      <c r="G186" s="183">
        <v>-4541.6829309094965</v>
      </c>
      <c r="H186" s="144"/>
      <c r="I186" s="186"/>
      <c r="K186" s="210">
        <v>42.242462109256742</v>
      </c>
      <c r="L186" s="143">
        <v>2.4535772040372499</v>
      </c>
      <c r="M186" s="146">
        <v>0.10684229784120015</v>
      </c>
      <c r="N186" s="143">
        <v>8382.0331232922545</v>
      </c>
      <c r="O186" s="138">
        <v>48504</v>
      </c>
      <c r="P186" s="143">
        <v>21349</v>
      </c>
      <c r="Q186" s="184">
        <v>130230</v>
      </c>
      <c r="R186" s="184">
        <v>-108881</v>
      </c>
      <c r="S186" s="139">
        <v>65202</v>
      </c>
      <c r="T186" s="138">
        <v>48548</v>
      </c>
      <c r="U186" s="151"/>
      <c r="W186" s="183">
        <v>52</v>
      </c>
      <c r="X186" s="183">
        <v>807</v>
      </c>
      <c r="Y186" s="184">
        <v>5728</v>
      </c>
      <c r="Z186" s="130">
        <v>6853</v>
      </c>
      <c r="AA186" s="130">
        <v>0</v>
      </c>
      <c r="AB186" s="130">
        <v>0</v>
      </c>
      <c r="AC186" s="184">
        <v>-1125</v>
      </c>
      <c r="AD186" s="183">
        <v>99</v>
      </c>
      <c r="AE186" s="183">
        <v>0</v>
      </c>
      <c r="AF186" s="183">
        <v>37</v>
      </c>
      <c r="AG186" s="183">
        <v>-989</v>
      </c>
      <c r="AH186" s="183">
        <v>6993</v>
      </c>
      <c r="AI186" s="183">
        <v>4839</v>
      </c>
      <c r="AJ186" s="167"/>
      <c r="AK186" s="183">
        <v>-1835</v>
      </c>
      <c r="AL186" s="183">
        <v>-4439</v>
      </c>
      <c r="AM186" s="180">
        <v>-9628</v>
      </c>
      <c r="AN186" s="139">
        <v>65202</v>
      </c>
      <c r="AO186" s="138">
        <v>56515</v>
      </c>
      <c r="AP186" s="184">
        <v>4472</v>
      </c>
      <c r="AQ186" s="138">
        <v>4215</v>
      </c>
      <c r="AR186" s="109">
        <v>22</v>
      </c>
      <c r="AS186" s="144"/>
      <c r="AT186" s="139">
        <v>103</v>
      </c>
      <c r="AU186" s="228">
        <v>17682</v>
      </c>
      <c r="AV186" s="138"/>
      <c r="AW186" s="224">
        <v>0.19005473390008151</v>
      </c>
      <c r="AX186" s="225">
        <v>74.600012075107173</v>
      </c>
      <c r="AY186" s="139">
        <v>-5256.1927383780112</v>
      </c>
      <c r="AZ186" s="144"/>
      <c r="BA186"/>
      <c r="BC186" s="189">
        <v>38.449381683567111</v>
      </c>
      <c r="BD186" s="183">
        <v>5.4292500848320326</v>
      </c>
      <c r="BE186" s="140">
        <v>0.23697291448280527</v>
      </c>
      <c r="BF186" s="139">
        <v>8362.4589978509212</v>
      </c>
      <c r="BG186" s="184">
        <v>48820</v>
      </c>
      <c r="BH186" s="216">
        <v>19724</v>
      </c>
      <c r="BI186" s="216">
        <v>131553</v>
      </c>
      <c r="BJ186" s="216">
        <v>-111803</v>
      </c>
      <c r="BK186" s="216">
        <v>65381</v>
      </c>
      <c r="BL186" s="216">
        <v>47399</v>
      </c>
      <c r="BM186" s="151"/>
      <c r="BO186" s="216">
        <v>46</v>
      </c>
      <c r="BP186" s="216">
        <v>776</v>
      </c>
      <c r="BQ186" s="216">
        <v>1799</v>
      </c>
      <c r="BR186" s="216">
        <v>4854</v>
      </c>
      <c r="BS186" s="216">
        <v>0</v>
      </c>
      <c r="BT186" s="216">
        <v>0</v>
      </c>
      <c r="BU186" s="216">
        <v>-3055</v>
      </c>
      <c r="BV186" s="183">
        <v>14</v>
      </c>
      <c r="BW186" s="183">
        <v>0</v>
      </c>
      <c r="BX186" s="183">
        <v>0</v>
      </c>
      <c r="BY186" s="183">
        <v>-3041</v>
      </c>
      <c r="BZ186" s="183">
        <v>3953</v>
      </c>
      <c r="CA186" s="183">
        <v>1668</v>
      </c>
      <c r="CB186" s="167"/>
      <c r="CC186" s="183">
        <v>1069</v>
      </c>
      <c r="CD186" s="183">
        <v>-2194</v>
      </c>
      <c r="CE186" s="180">
        <v>-11731</v>
      </c>
      <c r="CF186" s="139">
        <v>65381</v>
      </c>
      <c r="CG186" s="216">
        <v>56665</v>
      </c>
      <c r="CH186" s="216">
        <v>4560</v>
      </c>
      <c r="CI186" s="216">
        <v>4156</v>
      </c>
      <c r="CJ186" s="212">
        <v>22</v>
      </c>
      <c r="CK186" s="144"/>
      <c r="CL186" s="130">
        <v>180</v>
      </c>
      <c r="CM186" s="228">
        <v>17375</v>
      </c>
      <c r="CN186" s="138"/>
      <c r="CO186" s="142">
        <v>0.53369600900436154</v>
      </c>
      <c r="CP186" s="142">
        <v>72.526632964898752</v>
      </c>
      <c r="CQ186" s="183">
        <v>-5487.3093525179856</v>
      </c>
      <c r="CR186" s="144"/>
      <c r="CS186"/>
      <c r="CU186" s="232">
        <v>39.521894156288973</v>
      </c>
      <c r="CV186" s="143">
        <v>33.669064748201436</v>
      </c>
      <c r="CW186" s="146">
        <v>1.2859310917993099</v>
      </c>
      <c r="CX186" s="143">
        <v>9556.6618705035962</v>
      </c>
      <c r="CY186" s="131">
        <v>48135</v>
      </c>
      <c r="CZ186" s="229">
        <v>18669</v>
      </c>
      <c r="DA186" s="229">
        <v>130108</v>
      </c>
      <c r="DB186" s="216">
        <v>-111439</v>
      </c>
      <c r="DC186" s="229">
        <v>67397</v>
      </c>
      <c r="DD186" s="229">
        <v>54001</v>
      </c>
      <c r="DE186" s="151"/>
      <c r="DG186" s="229">
        <v>117</v>
      </c>
      <c r="DH186" s="229">
        <v>879</v>
      </c>
      <c r="DI186" s="229">
        <v>10955</v>
      </c>
      <c r="DJ186" s="229">
        <v>5978</v>
      </c>
      <c r="DK186" s="229">
        <v>0</v>
      </c>
      <c r="DL186" s="229">
        <v>0</v>
      </c>
      <c r="DM186" s="229">
        <v>4977</v>
      </c>
      <c r="DN186" s="130">
        <v>14</v>
      </c>
      <c r="DO186" s="130">
        <v>0</v>
      </c>
      <c r="DP186" s="130">
        <v>0</v>
      </c>
      <c r="DQ186" s="130">
        <v>4991</v>
      </c>
      <c r="DR186" s="130">
        <v>8944</v>
      </c>
      <c r="DS186" s="130">
        <v>11272</v>
      </c>
      <c r="DT186" s="167"/>
      <c r="DU186" s="183">
        <v>160</v>
      </c>
      <c r="DV186" s="183">
        <v>-20898</v>
      </c>
      <c r="DW186" s="180">
        <v>-2534</v>
      </c>
      <c r="DX186" s="130">
        <v>67397</v>
      </c>
      <c r="DY186" s="229">
        <v>58225</v>
      </c>
      <c r="DZ186" s="229">
        <v>5211</v>
      </c>
      <c r="EA186" s="229">
        <v>3961</v>
      </c>
      <c r="EB186" s="212">
        <v>22</v>
      </c>
      <c r="EC186" s="208"/>
      <c r="ED186" s="183">
        <v>165.838235294117</v>
      </c>
      <c r="EE186" s="3">
        <v>66953</v>
      </c>
      <c r="EF186" s="183">
        <v>67646</v>
      </c>
      <c r="EG186" s="130">
        <v>65495</v>
      </c>
      <c r="EH186" s="130"/>
      <c r="EI186" s="130"/>
      <c r="EJ186" s="130"/>
      <c r="EK186" s="183">
        <v>-15039</v>
      </c>
      <c r="EL186" s="183">
        <v>0</v>
      </c>
      <c r="EM186" s="183">
        <v>572</v>
      </c>
      <c r="EN186" s="226">
        <v>-13605</v>
      </c>
      <c r="EO186" s="226">
        <v>0</v>
      </c>
      <c r="EP186" s="226">
        <v>206</v>
      </c>
      <c r="EQ186" s="226">
        <v>-14546</v>
      </c>
      <c r="ER186" s="230">
        <v>430</v>
      </c>
      <c r="ES186" s="230">
        <v>310</v>
      </c>
      <c r="ET186" s="3">
        <v>9000</v>
      </c>
      <c r="EU186" s="211">
        <v>2476</v>
      </c>
      <c r="EV186" s="183">
        <v>16100</v>
      </c>
      <c r="EW186" s="183">
        <v>-2476</v>
      </c>
      <c r="EX186" s="130">
        <v>30000</v>
      </c>
      <c r="EY186" s="183">
        <v>-7000</v>
      </c>
      <c r="EZ186" s="3">
        <v>68957</v>
      </c>
      <c r="FA186" s="3">
        <v>51286</v>
      </c>
      <c r="FB186" s="3">
        <v>17671</v>
      </c>
      <c r="FC186" s="3">
        <v>12833</v>
      </c>
      <c r="FD186" s="226">
        <v>80385</v>
      </c>
      <c r="FE186" s="183">
        <v>46487</v>
      </c>
      <c r="FF186" s="183">
        <v>33898</v>
      </c>
      <c r="FG186" s="183">
        <v>12605</v>
      </c>
      <c r="FH186" s="230">
        <v>82488</v>
      </c>
      <c r="FI186" s="130">
        <v>70615</v>
      </c>
      <c r="FJ186" s="130">
        <v>11873</v>
      </c>
      <c r="FK186" s="130">
        <v>12475</v>
      </c>
      <c r="FL186" s="29">
        <v>5716.9464116433392</v>
      </c>
      <c r="FM186" s="139">
        <v>6435.980092749689</v>
      </c>
      <c r="FN186" s="139">
        <v>6773.2374100719426</v>
      </c>
      <c r="FO186" s="172">
        <f t="shared" si="6"/>
        <v>2646.590909090909</v>
      </c>
      <c r="FP186" s="170">
        <f t="shared" si="7"/>
        <v>152.32177894048397</v>
      </c>
      <c r="FR186" s="175"/>
      <c r="FS186" s="195"/>
      <c r="FV186" s="175">
        <v>6568</v>
      </c>
      <c r="FW186" s="2">
        <f t="shared" si="8"/>
        <v>-6568</v>
      </c>
      <c r="FZ186" s="186"/>
      <c r="GA186" s="2"/>
      <c r="GB186" s="2"/>
    </row>
    <row r="187" spans="1:184" ht="13" x14ac:dyDescent="0.3">
      <c r="A187" s="77">
        <v>595</v>
      </c>
      <c r="B187" s="75" t="s">
        <v>179</v>
      </c>
      <c r="C187" s="179">
        <v>4498</v>
      </c>
      <c r="D187" s="138"/>
      <c r="E187" s="142">
        <v>1.9567062818336163</v>
      </c>
      <c r="F187" s="142">
        <v>50.920963629741401</v>
      </c>
      <c r="G187" s="183">
        <v>-3230.102267674522</v>
      </c>
      <c r="H187" s="144"/>
      <c r="I187" s="186"/>
      <c r="K187" s="210">
        <v>51.511421819614021</v>
      </c>
      <c r="L187" s="143">
        <v>967.54112939084041</v>
      </c>
      <c r="M187" s="146">
        <v>40.850713642792847</v>
      </c>
      <c r="N187" s="143">
        <v>8644.9533125833696</v>
      </c>
      <c r="O187" s="138">
        <v>13293</v>
      </c>
      <c r="P187" s="143">
        <v>5293</v>
      </c>
      <c r="Q187" s="184">
        <v>36664</v>
      </c>
      <c r="R187" s="184">
        <v>-31371</v>
      </c>
      <c r="S187" s="139">
        <v>13210</v>
      </c>
      <c r="T187" s="138">
        <v>19946</v>
      </c>
      <c r="U187" s="151"/>
      <c r="W187" s="183">
        <v>-84</v>
      </c>
      <c r="X187" s="183">
        <v>478</v>
      </c>
      <c r="Y187" s="184">
        <v>2179</v>
      </c>
      <c r="Z187" s="130">
        <v>1807</v>
      </c>
      <c r="AA187" s="130">
        <v>0</v>
      </c>
      <c r="AB187" s="130">
        <v>0</v>
      </c>
      <c r="AC187" s="184">
        <v>372</v>
      </c>
      <c r="AD187" s="184">
        <v>0</v>
      </c>
      <c r="AE187" s="183">
        <v>0</v>
      </c>
      <c r="AF187" s="183">
        <v>0</v>
      </c>
      <c r="AG187" s="183">
        <v>372</v>
      </c>
      <c r="AH187" s="183">
        <v>-1000</v>
      </c>
      <c r="AI187" s="183">
        <v>2153</v>
      </c>
      <c r="AJ187" s="167"/>
      <c r="AK187" s="183">
        <v>910</v>
      </c>
      <c r="AL187" s="183">
        <v>-1052</v>
      </c>
      <c r="AM187" s="180">
        <v>1276</v>
      </c>
      <c r="AN187" s="139">
        <v>13210</v>
      </c>
      <c r="AO187" s="138">
        <v>10601</v>
      </c>
      <c r="AP187" s="184">
        <v>1438</v>
      </c>
      <c r="AQ187" s="138">
        <v>1171</v>
      </c>
      <c r="AR187" s="109">
        <v>21.75</v>
      </c>
      <c r="AS187" s="144"/>
      <c r="AT187" s="139">
        <v>51</v>
      </c>
      <c r="AU187" s="228">
        <v>4391</v>
      </c>
      <c r="AV187" s="138"/>
      <c r="AW187" s="224">
        <v>0.62650319704346802</v>
      </c>
      <c r="AX187" s="225">
        <v>48.806605599277511</v>
      </c>
      <c r="AY187" s="139">
        <v>-3128.4445456615804</v>
      </c>
      <c r="AZ187" s="144"/>
      <c r="BA187"/>
      <c r="BC187" s="189">
        <v>51.827275926205196</v>
      </c>
      <c r="BD187" s="183">
        <v>959.6902755636529</v>
      </c>
      <c r="BE187" s="140">
        <v>38.306228675316916</v>
      </c>
      <c r="BF187" s="139">
        <v>9144.3862445912091</v>
      </c>
      <c r="BG187" s="184">
        <v>13846</v>
      </c>
      <c r="BH187" s="216">
        <v>4953</v>
      </c>
      <c r="BI187" s="216">
        <v>38008</v>
      </c>
      <c r="BJ187" s="216">
        <v>-33049</v>
      </c>
      <c r="BK187" s="216">
        <v>13774</v>
      </c>
      <c r="BL187" s="216">
        <v>20028</v>
      </c>
      <c r="BM187" s="151"/>
      <c r="BO187" s="216">
        <v>-79</v>
      </c>
      <c r="BP187" s="216">
        <v>543</v>
      </c>
      <c r="BQ187" s="216">
        <v>1217</v>
      </c>
      <c r="BR187" s="216">
        <v>1523</v>
      </c>
      <c r="BS187" s="216">
        <v>0</v>
      </c>
      <c r="BT187" s="216">
        <v>0</v>
      </c>
      <c r="BU187" s="216">
        <v>-306</v>
      </c>
      <c r="BV187" s="184">
        <v>0</v>
      </c>
      <c r="BW187" s="183">
        <v>0</v>
      </c>
      <c r="BX187" s="183">
        <v>0</v>
      </c>
      <c r="BY187" s="183">
        <v>-306</v>
      </c>
      <c r="BZ187" s="183">
        <v>-1306</v>
      </c>
      <c r="CA187" s="183">
        <v>1386</v>
      </c>
      <c r="CB187" s="167"/>
      <c r="CC187" s="183">
        <v>-273</v>
      </c>
      <c r="CD187" s="183">
        <v>-1052</v>
      </c>
      <c r="CE187" s="180">
        <v>577</v>
      </c>
      <c r="CF187" s="139">
        <v>13774</v>
      </c>
      <c r="CG187" s="216">
        <v>11076</v>
      </c>
      <c r="CH187" s="216">
        <v>1519</v>
      </c>
      <c r="CI187" s="216">
        <v>1179</v>
      </c>
      <c r="CJ187" s="212">
        <v>21.75</v>
      </c>
      <c r="CK187" s="144"/>
      <c r="CL187" s="130">
        <v>95</v>
      </c>
      <c r="CM187" s="228">
        <v>4321</v>
      </c>
      <c r="CN187" s="138"/>
      <c r="CO187" s="142">
        <v>3.5531547104580814</v>
      </c>
      <c r="CP187" s="142">
        <v>41.642469996128533</v>
      </c>
      <c r="CQ187" s="183">
        <v>-2262.4392501735711</v>
      </c>
      <c r="CR187" s="144"/>
      <c r="CS187"/>
      <c r="CU187" s="232">
        <v>56.531330557208008</v>
      </c>
      <c r="CV187" s="143">
        <v>1542.0041657023837</v>
      </c>
      <c r="CW187" s="146">
        <v>61.758678483455647</v>
      </c>
      <c r="CX187" s="143">
        <v>9113.399676000925</v>
      </c>
      <c r="CY187" s="131">
        <v>13602</v>
      </c>
      <c r="CZ187" s="229">
        <v>5305</v>
      </c>
      <c r="DA187" s="229">
        <v>37550</v>
      </c>
      <c r="DB187" s="216">
        <v>-32245</v>
      </c>
      <c r="DC187" s="229">
        <v>13613</v>
      </c>
      <c r="DD187" s="229">
        <v>22413</v>
      </c>
      <c r="DE187" s="151"/>
      <c r="DG187" s="229">
        <v>-102</v>
      </c>
      <c r="DH187" s="229">
        <v>327</v>
      </c>
      <c r="DI187" s="229">
        <v>4006</v>
      </c>
      <c r="DJ187" s="229">
        <v>1819</v>
      </c>
      <c r="DK187" s="229">
        <v>0</v>
      </c>
      <c r="DL187" s="229">
        <v>0</v>
      </c>
      <c r="DM187" s="229">
        <v>2187</v>
      </c>
      <c r="DN187" s="131">
        <v>0</v>
      </c>
      <c r="DO187" s="130">
        <v>0</v>
      </c>
      <c r="DP187" s="130">
        <v>0</v>
      </c>
      <c r="DQ187" s="130">
        <v>2187</v>
      </c>
      <c r="DR187" s="130">
        <v>881</v>
      </c>
      <c r="DS187" s="130">
        <v>4079</v>
      </c>
      <c r="DT187" s="167"/>
      <c r="DU187" s="183">
        <v>193</v>
      </c>
      <c r="DV187" s="183">
        <v>-1052</v>
      </c>
      <c r="DW187" s="180">
        <v>3623</v>
      </c>
      <c r="DX187" s="130">
        <v>13613</v>
      </c>
      <c r="DY187" s="229">
        <v>10716</v>
      </c>
      <c r="DZ187" s="229">
        <v>1820</v>
      </c>
      <c r="EA187" s="229">
        <v>1077</v>
      </c>
      <c r="EB187" s="212">
        <v>21.75</v>
      </c>
      <c r="EC187" s="208"/>
      <c r="ED187" s="183">
        <v>57.044117647058897</v>
      </c>
      <c r="EE187" s="3">
        <v>19761</v>
      </c>
      <c r="EF187" s="183">
        <v>20084</v>
      </c>
      <c r="EG187" s="130">
        <v>19677</v>
      </c>
      <c r="EH187" s="130"/>
      <c r="EI187" s="130"/>
      <c r="EJ187" s="130">
        <v>605</v>
      </c>
      <c r="EK187" s="183">
        <v>-931</v>
      </c>
      <c r="EL187" s="183">
        <v>10</v>
      </c>
      <c r="EM187" s="183">
        <v>44</v>
      </c>
      <c r="EN187" s="226">
        <v>-843</v>
      </c>
      <c r="EO187" s="226">
        <v>14</v>
      </c>
      <c r="EP187" s="226">
        <v>20</v>
      </c>
      <c r="EQ187" s="226">
        <v>-473</v>
      </c>
      <c r="ER187" s="230">
        <v>15</v>
      </c>
      <c r="ES187" s="230">
        <v>2</v>
      </c>
      <c r="ET187" s="3">
        <v>0</v>
      </c>
      <c r="EU187" s="211">
        <v>-160</v>
      </c>
      <c r="EV187" s="183">
        <v>0</v>
      </c>
      <c r="EW187" s="183">
        <v>0</v>
      </c>
      <c r="EX187" s="130">
        <v>0</v>
      </c>
      <c r="EY187" s="183">
        <v>0</v>
      </c>
      <c r="EZ187" s="3">
        <v>16001</v>
      </c>
      <c r="FA187" s="3">
        <v>14949</v>
      </c>
      <c r="FB187" s="3">
        <v>1052</v>
      </c>
      <c r="FC187" s="3">
        <v>615</v>
      </c>
      <c r="FD187" s="226">
        <v>14948</v>
      </c>
      <c r="FE187" s="183">
        <v>13896</v>
      </c>
      <c r="FF187" s="183">
        <v>1052</v>
      </c>
      <c r="FG187" s="183">
        <v>636</v>
      </c>
      <c r="FH187" s="230">
        <v>13896</v>
      </c>
      <c r="FI187" s="130">
        <v>12974</v>
      </c>
      <c r="FJ187" s="130">
        <v>922</v>
      </c>
      <c r="FK187" s="130">
        <v>285</v>
      </c>
      <c r="FL187" s="29">
        <v>5652.9568697198756</v>
      </c>
      <c r="FM187" s="139">
        <v>5635.1628330676385</v>
      </c>
      <c r="FN187" s="139">
        <v>5578.3383476047211</v>
      </c>
      <c r="FO187" s="172">
        <f t="shared" si="6"/>
        <v>492.68965517241378</v>
      </c>
      <c r="FP187" s="170">
        <f t="shared" si="7"/>
        <v>114.02213727665212</v>
      </c>
      <c r="FR187" s="175"/>
      <c r="FS187" s="195"/>
      <c r="FV187" s="175">
        <v>809</v>
      </c>
      <c r="FW187" s="2">
        <f t="shared" si="8"/>
        <v>-809</v>
      </c>
      <c r="FZ187" s="186"/>
      <c r="GA187" s="2"/>
      <c r="GB187" s="2"/>
    </row>
    <row r="188" spans="1:184" ht="13" x14ac:dyDescent="0.3">
      <c r="A188" s="77">
        <v>598</v>
      </c>
      <c r="B188" s="75" t="s">
        <v>180</v>
      </c>
      <c r="C188" s="179">
        <v>19278</v>
      </c>
      <c r="D188" s="138"/>
      <c r="E188" s="142">
        <v>0.84742736568738841</v>
      </c>
      <c r="F188" s="142">
        <v>43.395233836603715</v>
      </c>
      <c r="G188" s="183">
        <v>-3930.6982052080093</v>
      </c>
      <c r="H188" s="144"/>
      <c r="I188" s="186"/>
      <c r="K188" s="210">
        <v>57.673167973689779</v>
      </c>
      <c r="L188" s="143">
        <v>37.400145243282502</v>
      </c>
      <c r="M188" s="146">
        <v>1.1920162338691778</v>
      </c>
      <c r="N188" s="143">
        <v>11452.069716775599</v>
      </c>
      <c r="O188" s="138">
        <v>93870</v>
      </c>
      <c r="P188" s="143">
        <v>91563</v>
      </c>
      <c r="Q188" s="184">
        <v>206347</v>
      </c>
      <c r="R188" s="184">
        <v>-114784</v>
      </c>
      <c r="S188" s="139">
        <v>78348</v>
      </c>
      <c r="T188" s="138">
        <v>39597</v>
      </c>
      <c r="U188" s="151"/>
      <c r="W188" s="183">
        <v>-192</v>
      </c>
      <c r="X188" s="183">
        <v>1891</v>
      </c>
      <c r="Y188" s="184">
        <v>4860</v>
      </c>
      <c r="Z188" s="130">
        <v>7851</v>
      </c>
      <c r="AA188" s="130">
        <v>0</v>
      </c>
      <c r="AB188" s="131">
        <v>0</v>
      </c>
      <c r="AC188" s="184">
        <v>-2991</v>
      </c>
      <c r="AD188" s="183">
        <v>0</v>
      </c>
      <c r="AE188" s="183">
        <v>0</v>
      </c>
      <c r="AF188" s="183">
        <v>0</v>
      </c>
      <c r="AG188" s="183">
        <v>-2991</v>
      </c>
      <c r="AH188" s="183">
        <v>71564</v>
      </c>
      <c r="AI188" s="183">
        <v>3638</v>
      </c>
      <c r="AJ188" s="167"/>
      <c r="AK188" s="183">
        <v>-2878</v>
      </c>
      <c r="AL188" s="183">
        <v>-5800</v>
      </c>
      <c r="AM188" s="180">
        <v>-3617</v>
      </c>
      <c r="AN188" s="139">
        <v>78348</v>
      </c>
      <c r="AO188" s="138">
        <v>66249</v>
      </c>
      <c r="AP188" s="184">
        <v>6167</v>
      </c>
      <c r="AQ188" s="138">
        <v>5932</v>
      </c>
      <c r="AR188" s="109">
        <v>21.25</v>
      </c>
      <c r="AS188" s="144"/>
      <c r="AT188" s="139">
        <v>135</v>
      </c>
      <c r="AU188" s="228">
        <v>19208</v>
      </c>
      <c r="AV188" s="138"/>
      <c r="AW188" s="224">
        <v>-3.4242071137672046E-2</v>
      </c>
      <c r="AX188" s="225">
        <v>48.873988981362089</v>
      </c>
      <c r="AY188" s="139">
        <v>-4428.6234902124115</v>
      </c>
      <c r="AZ188" s="144"/>
      <c r="BA188"/>
      <c r="BC188" s="189">
        <v>52.902597648923305</v>
      </c>
      <c r="BD188" s="183">
        <v>82.830070803831745</v>
      </c>
      <c r="BE188" s="140">
        <v>2.5276502208970815</v>
      </c>
      <c r="BF188" s="139">
        <v>11960.901707621824</v>
      </c>
      <c r="BG188" s="184">
        <v>95117</v>
      </c>
      <c r="BH188" s="216">
        <v>92749</v>
      </c>
      <c r="BI188" s="216">
        <v>215172</v>
      </c>
      <c r="BJ188" s="216">
        <v>-122082</v>
      </c>
      <c r="BK188" s="216">
        <v>79996</v>
      </c>
      <c r="BL188" s="216">
        <v>40530</v>
      </c>
      <c r="BM188" s="151"/>
      <c r="BO188" s="216">
        <v>-57</v>
      </c>
      <c r="BP188" s="216">
        <v>1016</v>
      </c>
      <c r="BQ188" s="216">
        <v>-597</v>
      </c>
      <c r="BR188" s="216">
        <v>7516</v>
      </c>
      <c r="BS188" s="216">
        <v>0</v>
      </c>
      <c r="BT188" s="216">
        <v>0</v>
      </c>
      <c r="BU188" s="216">
        <v>-8113</v>
      </c>
      <c r="BV188" s="183">
        <v>0</v>
      </c>
      <c r="BW188" s="183">
        <v>0</v>
      </c>
      <c r="BX188" s="183">
        <v>50</v>
      </c>
      <c r="BY188" s="183">
        <v>-8063</v>
      </c>
      <c r="BZ188" s="183">
        <v>63500</v>
      </c>
      <c r="CA188" s="183">
        <v>-1041</v>
      </c>
      <c r="CB188" s="167"/>
      <c r="CC188" s="183">
        <v>-4121</v>
      </c>
      <c r="CD188" s="183">
        <v>-4750</v>
      </c>
      <c r="CE188" s="180">
        <v>-9855</v>
      </c>
      <c r="CF188" s="139">
        <v>79996</v>
      </c>
      <c r="CG188" s="216">
        <v>67487</v>
      </c>
      <c r="CH188" s="216">
        <v>6588</v>
      </c>
      <c r="CI188" s="216">
        <v>5921</v>
      </c>
      <c r="CJ188" s="212">
        <v>21.25</v>
      </c>
      <c r="CK188" s="144"/>
      <c r="CL188" s="130">
        <v>240</v>
      </c>
      <c r="CM188" s="228">
        <v>19066</v>
      </c>
      <c r="CN188" s="138"/>
      <c r="CO188" s="142">
        <v>1.9593071212537805</v>
      </c>
      <c r="CP188" s="142">
        <v>46.414165553654627</v>
      </c>
      <c r="CQ188" s="183">
        <v>-4501.3636840448971</v>
      </c>
      <c r="CR188" s="144"/>
      <c r="CS188"/>
      <c r="CU188" s="232">
        <v>52.881736999658969</v>
      </c>
      <c r="CV188" s="143">
        <v>116.64743522500787</v>
      </c>
      <c r="CW188" s="146">
        <v>3.521750636662198</v>
      </c>
      <c r="CX188" s="143">
        <v>12089.5311024861</v>
      </c>
      <c r="CY188" s="131">
        <v>97467</v>
      </c>
      <c r="CZ188" s="229">
        <v>92904</v>
      </c>
      <c r="DA188" s="229">
        <v>218360</v>
      </c>
      <c r="DB188" s="216">
        <v>-125456</v>
      </c>
      <c r="DC188" s="229">
        <v>82383</v>
      </c>
      <c r="DD188" s="229">
        <v>48972</v>
      </c>
      <c r="DE188" s="151"/>
      <c r="DG188" s="229">
        <v>7</v>
      </c>
      <c r="DH188" s="229">
        <v>983</v>
      </c>
      <c r="DI188" s="229">
        <v>6889</v>
      </c>
      <c r="DJ188" s="229">
        <v>6802</v>
      </c>
      <c r="DK188" s="229">
        <v>0</v>
      </c>
      <c r="DL188" s="229">
        <v>0</v>
      </c>
      <c r="DM188" s="229">
        <v>87</v>
      </c>
      <c r="DN188" s="130">
        <v>0</v>
      </c>
      <c r="DO188" s="130">
        <v>0</v>
      </c>
      <c r="DP188" s="130">
        <v>0</v>
      </c>
      <c r="DQ188" s="130">
        <v>87</v>
      </c>
      <c r="DR188" s="130">
        <v>63588</v>
      </c>
      <c r="DS188" s="130">
        <v>6648</v>
      </c>
      <c r="DT188" s="167"/>
      <c r="DU188" s="183">
        <v>1721</v>
      </c>
      <c r="DV188" s="183">
        <v>-3400</v>
      </c>
      <c r="DW188" s="180">
        <v>-734</v>
      </c>
      <c r="DX188" s="130">
        <v>82383</v>
      </c>
      <c r="DY188" s="229">
        <v>69956</v>
      </c>
      <c r="DZ188" s="229">
        <v>6912</v>
      </c>
      <c r="EA188" s="229">
        <v>5515</v>
      </c>
      <c r="EB188" s="212">
        <v>21.25</v>
      </c>
      <c r="EC188" s="208"/>
      <c r="ED188" s="183">
        <v>266.57352941176401</v>
      </c>
      <c r="EE188" s="3">
        <v>82882</v>
      </c>
      <c r="EF188" s="183">
        <v>90545</v>
      </c>
      <c r="EG188" s="130">
        <v>90709</v>
      </c>
      <c r="EH188" s="130"/>
      <c r="EI188" s="130"/>
      <c r="EJ188" s="130"/>
      <c r="EK188" s="183">
        <v>-8502</v>
      </c>
      <c r="EL188" s="183">
        <v>346</v>
      </c>
      <c r="EM188" s="183">
        <v>901</v>
      </c>
      <c r="EN188" s="226">
        <v>-9497</v>
      </c>
      <c r="EO188" s="226">
        <v>163</v>
      </c>
      <c r="EP188" s="226">
        <v>520</v>
      </c>
      <c r="EQ188" s="226">
        <v>-8779</v>
      </c>
      <c r="ER188" s="230">
        <v>649</v>
      </c>
      <c r="ES188" s="230">
        <v>748</v>
      </c>
      <c r="ET188" s="3">
        <v>0</v>
      </c>
      <c r="EU188" s="211">
        <v>5850</v>
      </c>
      <c r="EV188" s="183">
        <v>0</v>
      </c>
      <c r="EW188" s="183">
        <v>13950</v>
      </c>
      <c r="EX188" s="130">
        <v>0</v>
      </c>
      <c r="EY188" s="183">
        <v>8650</v>
      </c>
      <c r="EZ188" s="3">
        <v>60450</v>
      </c>
      <c r="FA188" s="3">
        <v>12150</v>
      </c>
      <c r="FB188" s="3">
        <v>48300</v>
      </c>
      <c r="FC188" s="3">
        <v>17278</v>
      </c>
      <c r="FD188" s="226">
        <v>69650</v>
      </c>
      <c r="FE188" s="183">
        <v>7400</v>
      </c>
      <c r="FF188" s="183">
        <v>62250</v>
      </c>
      <c r="FG188" s="183">
        <v>16829</v>
      </c>
      <c r="FH188" s="230">
        <v>74900</v>
      </c>
      <c r="FI188" s="130">
        <v>4000</v>
      </c>
      <c r="FJ188" s="130">
        <v>70900</v>
      </c>
      <c r="FK188" s="130">
        <v>16844</v>
      </c>
      <c r="FL188" s="29">
        <v>5796.9706401078947</v>
      </c>
      <c r="FM188" s="139">
        <v>6433.6214077467721</v>
      </c>
      <c r="FN188" s="139">
        <v>7035.7180320990237</v>
      </c>
      <c r="FO188" s="172">
        <f t="shared" si="6"/>
        <v>3292.0470588235294</v>
      </c>
      <c r="FP188" s="170">
        <f t="shared" si="7"/>
        <v>172.66584804487198</v>
      </c>
      <c r="FR188" s="175"/>
      <c r="FS188" s="195"/>
      <c r="FV188" s="175">
        <v>12832</v>
      </c>
      <c r="FW188" s="2">
        <f t="shared" si="8"/>
        <v>-12832</v>
      </c>
      <c r="FZ188" s="186"/>
      <c r="GA188" s="2"/>
      <c r="GB188" s="2"/>
    </row>
    <row r="189" spans="1:184" ht="13" x14ac:dyDescent="0.3">
      <c r="A189" s="77">
        <v>601</v>
      </c>
      <c r="B189" s="75" t="s">
        <v>181</v>
      </c>
      <c r="C189" s="179">
        <v>4053</v>
      </c>
      <c r="D189" s="138"/>
      <c r="E189" s="142">
        <v>1.0862068965517242</v>
      </c>
      <c r="F189" s="142">
        <v>45.433457654871283</v>
      </c>
      <c r="G189" s="183">
        <v>-2102.3932889217863</v>
      </c>
      <c r="H189" s="144"/>
      <c r="I189" s="186"/>
      <c r="K189" s="210">
        <v>56.603488472498057</v>
      </c>
      <c r="L189" s="143">
        <v>2184.5546508758944</v>
      </c>
      <c r="M189" s="146">
        <v>69.75114391781058</v>
      </c>
      <c r="N189" s="143">
        <v>11431.532198371577</v>
      </c>
      <c r="O189" s="138">
        <v>14131</v>
      </c>
      <c r="P189" s="143">
        <v>15547</v>
      </c>
      <c r="Q189" s="184">
        <v>43220</v>
      </c>
      <c r="R189" s="184">
        <v>-27673</v>
      </c>
      <c r="S189" s="139">
        <v>11792</v>
      </c>
      <c r="T189" s="138">
        <v>16633</v>
      </c>
      <c r="U189" s="151"/>
      <c r="W189" s="183">
        <v>99</v>
      </c>
      <c r="X189" s="183">
        <v>14</v>
      </c>
      <c r="Y189" s="184">
        <v>865</v>
      </c>
      <c r="Z189" s="130">
        <v>1621</v>
      </c>
      <c r="AA189" s="131">
        <v>0</v>
      </c>
      <c r="AB189" s="131">
        <v>0</v>
      </c>
      <c r="AC189" s="184">
        <v>-756</v>
      </c>
      <c r="AD189" s="183">
        <v>106</v>
      </c>
      <c r="AE189" s="183">
        <v>0</v>
      </c>
      <c r="AF189" s="183">
        <v>0</v>
      </c>
      <c r="AG189" s="183">
        <v>-650</v>
      </c>
      <c r="AH189" s="183">
        <v>11440</v>
      </c>
      <c r="AI189" s="183">
        <v>943</v>
      </c>
      <c r="AJ189" s="167"/>
      <c r="AK189" s="183">
        <v>-1272</v>
      </c>
      <c r="AL189" s="183">
        <v>-790</v>
      </c>
      <c r="AM189" s="180">
        <v>-935</v>
      </c>
      <c r="AN189" s="139">
        <v>11792</v>
      </c>
      <c r="AO189" s="138">
        <v>9292</v>
      </c>
      <c r="AP189" s="184">
        <v>1562</v>
      </c>
      <c r="AQ189" s="138">
        <v>938</v>
      </c>
      <c r="AR189" s="109">
        <v>21</v>
      </c>
      <c r="AS189" s="144"/>
      <c r="AT189" s="139">
        <v>160</v>
      </c>
      <c r="AU189" s="228">
        <v>4032</v>
      </c>
      <c r="AV189" s="138"/>
      <c r="AW189" s="224">
        <v>0.15373118394363189</v>
      </c>
      <c r="AX189" s="225">
        <v>55.781949174007259</v>
      </c>
      <c r="AY189" s="139">
        <v>-2407.2420634920636</v>
      </c>
      <c r="AZ189" s="144"/>
      <c r="BA189"/>
      <c r="BC189" s="189">
        <v>55.545682742075215</v>
      </c>
      <c r="BD189" s="183">
        <v>2231.1507936507933</v>
      </c>
      <c r="BE189" s="140">
        <v>86.089509976141159</v>
      </c>
      <c r="BF189" s="139">
        <v>9459.5734126984134</v>
      </c>
      <c r="BG189" s="184">
        <v>9428</v>
      </c>
      <c r="BH189" s="216">
        <v>6509</v>
      </c>
      <c r="BI189" s="216">
        <v>35500</v>
      </c>
      <c r="BJ189" s="216">
        <v>-28991</v>
      </c>
      <c r="BK189" s="216">
        <v>12309</v>
      </c>
      <c r="BL189" s="216">
        <v>16715</v>
      </c>
      <c r="BM189" s="151"/>
      <c r="BO189" s="216">
        <v>232</v>
      </c>
      <c r="BP189" s="216">
        <v>16</v>
      </c>
      <c r="BQ189" s="216">
        <v>281</v>
      </c>
      <c r="BR189" s="216">
        <v>1721</v>
      </c>
      <c r="BS189" s="216">
        <v>224</v>
      </c>
      <c r="BT189" s="216">
        <v>0</v>
      </c>
      <c r="BU189" s="216">
        <v>-1216</v>
      </c>
      <c r="BV189" s="183">
        <v>92</v>
      </c>
      <c r="BW189" s="183">
        <v>0</v>
      </c>
      <c r="BX189" s="183">
        <v>0</v>
      </c>
      <c r="BY189" s="183">
        <v>-1124</v>
      </c>
      <c r="BZ189" s="183">
        <v>10316</v>
      </c>
      <c r="CA189" s="183">
        <v>497</v>
      </c>
      <c r="CB189" s="167"/>
      <c r="CC189" s="183">
        <v>1484</v>
      </c>
      <c r="CD189" s="183">
        <v>-840</v>
      </c>
      <c r="CE189" s="180">
        <v>-1160</v>
      </c>
      <c r="CF189" s="139">
        <v>12309</v>
      </c>
      <c r="CG189" s="216">
        <v>9737</v>
      </c>
      <c r="CH189" s="216">
        <v>1621</v>
      </c>
      <c r="CI189" s="216">
        <v>951</v>
      </c>
      <c r="CJ189" s="212">
        <v>21</v>
      </c>
      <c r="CK189" s="144"/>
      <c r="CL189" s="130">
        <v>198</v>
      </c>
      <c r="CM189" s="228">
        <v>3931</v>
      </c>
      <c r="CN189" s="138"/>
      <c r="CO189" s="142">
        <v>2.1605777400169925</v>
      </c>
      <c r="CP189" s="142">
        <v>69.230769230769226</v>
      </c>
      <c r="CQ189" s="183">
        <v>-3122.8694988552529</v>
      </c>
      <c r="CR189" s="144"/>
      <c r="CS189"/>
      <c r="CU189" s="232">
        <v>45.052734126816041</v>
      </c>
      <c r="CV189" s="143">
        <v>2805.6474179598067</v>
      </c>
      <c r="CW189" s="146">
        <v>108.15069045188329</v>
      </c>
      <c r="CX189" s="143">
        <v>9468.8374459425086</v>
      </c>
      <c r="CY189" s="131">
        <v>9226</v>
      </c>
      <c r="CZ189" s="229">
        <v>6367</v>
      </c>
      <c r="DA189" s="229">
        <v>34818</v>
      </c>
      <c r="DB189" s="216">
        <v>-28451</v>
      </c>
      <c r="DC189" s="229">
        <v>12427</v>
      </c>
      <c r="DD189" s="229">
        <v>18399</v>
      </c>
      <c r="DE189" s="151"/>
      <c r="DG189" s="229">
        <v>54</v>
      </c>
      <c r="DH189" s="229">
        <v>12</v>
      </c>
      <c r="DI189" s="229">
        <v>2441</v>
      </c>
      <c r="DJ189" s="229">
        <v>1732</v>
      </c>
      <c r="DK189" s="229">
        <v>121</v>
      </c>
      <c r="DL189" s="229">
        <v>4564</v>
      </c>
      <c r="DM189" s="229">
        <v>-3734</v>
      </c>
      <c r="DN189" s="130">
        <v>293</v>
      </c>
      <c r="DO189" s="130">
        <v>0</v>
      </c>
      <c r="DP189" s="130">
        <v>0</v>
      </c>
      <c r="DQ189" s="130">
        <v>-3441</v>
      </c>
      <c r="DR189" s="130">
        <v>6877</v>
      </c>
      <c r="DS189" s="130">
        <v>-2039</v>
      </c>
      <c r="DT189" s="167"/>
      <c r="DU189" s="183">
        <v>-1324</v>
      </c>
      <c r="DV189" s="183">
        <v>-1075</v>
      </c>
      <c r="DW189" s="180">
        <v>-3092</v>
      </c>
      <c r="DX189" s="130">
        <v>12427</v>
      </c>
      <c r="DY189" s="229">
        <v>9703</v>
      </c>
      <c r="DZ189" s="229">
        <v>1868</v>
      </c>
      <c r="EA189" s="229">
        <v>856</v>
      </c>
      <c r="EB189" s="212">
        <v>21</v>
      </c>
      <c r="EC189" s="208"/>
      <c r="ED189" s="183">
        <v>176.91911764705799</v>
      </c>
      <c r="EE189" s="3">
        <v>23719</v>
      </c>
      <c r="EF189" s="183">
        <v>22977</v>
      </c>
      <c r="EG189" s="130">
        <v>22664</v>
      </c>
      <c r="EH189" s="130"/>
      <c r="EI189" s="130"/>
      <c r="EJ189" s="130"/>
      <c r="EK189" s="183">
        <v>-2205</v>
      </c>
      <c r="EL189" s="183">
        <v>250</v>
      </c>
      <c r="EM189" s="183">
        <v>77</v>
      </c>
      <c r="EN189" s="226">
        <v>-1687</v>
      </c>
      <c r="EO189" s="226">
        <v>0</v>
      </c>
      <c r="EP189" s="226">
        <v>30</v>
      </c>
      <c r="EQ189" s="226">
        <v>-1191</v>
      </c>
      <c r="ER189" s="230">
        <v>25</v>
      </c>
      <c r="ES189" s="230">
        <v>113</v>
      </c>
      <c r="ET189" s="3">
        <v>0</v>
      </c>
      <c r="EU189" s="211">
        <v>1000</v>
      </c>
      <c r="EV189" s="183">
        <v>2000</v>
      </c>
      <c r="EW189" s="183">
        <v>1000</v>
      </c>
      <c r="EX189" s="130">
        <v>5551</v>
      </c>
      <c r="EY189" s="183">
        <v>0</v>
      </c>
      <c r="EZ189" s="3">
        <v>14815</v>
      </c>
      <c r="FA189" s="3">
        <v>9525</v>
      </c>
      <c r="FB189" s="3">
        <v>5290</v>
      </c>
      <c r="FC189" s="3">
        <v>0</v>
      </c>
      <c r="FD189" s="226">
        <v>16975</v>
      </c>
      <c r="FE189" s="183">
        <v>10585</v>
      </c>
      <c r="FF189" s="183">
        <v>6390</v>
      </c>
      <c r="FG189" s="183">
        <v>0</v>
      </c>
      <c r="FH189" s="230">
        <v>21456</v>
      </c>
      <c r="FI189" s="130">
        <v>14691</v>
      </c>
      <c r="FJ189" s="130">
        <v>6765</v>
      </c>
      <c r="FK189" s="130">
        <v>0</v>
      </c>
      <c r="FL189" s="29">
        <v>7547.4956822107079</v>
      </c>
      <c r="FM189" s="139">
        <v>8728.9186507936502</v>
      </c>
      <c r="FN189" s="139">
        <v>10552.27677435767</v>
      </c>
      <c r="FO189" s="172">
        <f t="shared" si="6"/>
        <v>462.04761904761904</v>
      </c>
      <c r="FP189" s="170">
        <f t="shared" si="7"/>
        <v>117.53946045474918</v>
      </c>
      <c r="FR189" s="175"/>
      <c r="FS189" s="195"/>
      <c r="FV189" s="175">
        <v>742</v>
      </c>
      <c r="FW189" s="2">
        <f t="shared" si="8"/>
        <v>-742</v>
      </c>
      <c r="FZ189" s="186"/>
      <c r="GA189" s="2"/>
      <c r="GB189" s="2"/>
    </row>
    <row r="190" spans="1:184" ht="13" x14ac:dyDescent="0.3">
      <c r="A190" s="77">
        <v>604</v>
      </c>
      <c r="B190" s="75" t="s">
        <v>182</v>
      </c>
      <c r="C190" s="179">
        <v>19368</v>
      </c>
      <c r="D190" s="138"/>
      <c r="E190" s="142">
        <v>0.92221789378002861</v>
      </c>
      <c r="F190" s="142">
        <v>50.48774971730117</v>
      </c>
      <c r="G190" s="183">
        <v>-2947.1292854192479</v>
      </c>
      <c r="H190" s="144"/>
      <c r="I190" s="186"/>
      <c r="K190" s="210">
        <v>56.584417932031812</v>
      </c>
      <c r="L190" s="143">
        <v>198.1102850061958</v>
      </c>
      <c r="M190" s="146">
        <v>9.4218103535268583</v>
      </c>
      <c r="N190" s="143">
        <v>7674.7728211482863</v>
      </c>
      <c r="O190" s="138">
        <v>56771</v>
      </c>
      <c r="P190" s="143">
        <v>35208</v>
      </c>
      <c r="Q190" s="184">
        <v>125950</v>
      </c>
      <c r="R190" s="184">
        <v>-90742</v>
      </c>
      <c r="S190" s="139">
        <v>86067</v>
      </c>
      <c r="T190" s="138">
        <v>11375</v>
      </c>
      <c r="U190" s="151"/>
      <c r="W190" s="183">
        <v>-351</v>
      </c>
      <c r="X190" s="183">
        <v>402</v>
      </c>
      <c r="Y190" s="184">
        <v>6751</v>
      </c>
      <c r="Z190" s="130">
        <v>8164</v>
      </c>
      <c r="AA190" s="130">
        <v>0</v>
      </c>
      <c r="AB190" s="130">
        <v>0</v>
      </c>
      <c r="AC190" s="184">
        <v>-1413</v>
      </c>
      <c r="AD190" s="184">
        <v>0</v>
      </c>
      <c r="AE190" s="183">
        <v>0</v>
      </c>
      <c r="AF190" s="183">
        <v>0</v>
      </c>
      <c r="AG190" s="183">
        <v>-1413</v>
      </c>
      <c r="AH190" s="183">
        <v>44280</v>
      </c>
      <c r="AI190" s="183">
        <v>652</v>
      </c>
      <c r="AJ190" s="167"/>
      <c r="AK190" s="183">
        <v>389</v>
      </c>
      <c r="AL190" s="183">
        <v>-7350</v>
      </c>
      <c r="AM190" s="180">
        <v>-8016</v>
      </c>
      <c r="AN190" s="139">
        <v>86067</v>
      </c>
      <c r="AO190" s="138">
        <v>76869</v>
      </c>
      <c r="AP190" s="184">
        <v>3814</v>
      </c>
      <c r="AQ190" s="138">
        <v>5384</v>
      </c>
      <c r="AR190" s="109">
        <v>20</v>
      </c>
      <c r="AS190" s="144"/>
      <c r="AT190" s="139">
        <v>95</v>
      </c>
      <c r="AU190" s="228">
        <v>19623</v>
      </c>
      <c r="AV190" s="138"/>
      <c r="AW190" s="224">
        <v>0.89851528384279478</v>
      </c>
      <c r="AX190" s="225">
        <v>54.799212261323746</v>
      </c>
      <c r="AY190" s="139">
        <v>-3401.824389746726</v>
      </c>
      <c r="AZ190" s="144"/>
      <c r="BA190"/>
      <c r="BC190" s="189">
        <v>52.853563134091189</v>
      </c>
      <c r="BD190" s="183">
        <v>208.78560872445601</v>
      </c>
      <c r="BE190" s="140">
        <v>9.4443847970796657</v>
      </c>
      <c r="BF190" s="139">
        <v>8069.000662487897</v>
      </c>
      <c r="BG190" s="184">
        <v>59594</v>
      </c>
      <c r="BH190" s="216">
        <v>37346</v>
      </c>
      <c r="BI190" s="216">
        <v>133522</v>
      </c>
      <c r="BJ190" s="216">
        <v>-96176</v>
      </c>
      <c r="BK190" s="216">
        <v>90251</v>
      </c>
      <c r="BL190" s="216">
        <v>12551</v>
      </c>
      <c r="BM190" s="151"/>
      <c r="BO190" s="216">
        <v>-300</v>
      </c>
      <c r="BP190" s="216">
        <v>447</v>
      </c>
      <c r="BQ190" s="216">
        <v>6773</v>
      </c>
      <c r="BR190" s="216">
        <v>7941</v>
      </c>
      <c r="BS190" s="216">
        <v>0</v>
      </c>
      <c r="BT190" s="216">
        <v>0</v>
      </c>
      <c r="BU190" s="216">
        <v>-1168</v>
      </c>
      <c r="BV190" s="184">
        <v>-12140</v>
      </c>
      <c r="BW190" s="183">
        <v>12400</v>
      </c>
      <c r="BX190" s="183">
        <v>0</v>
      </c>
      <c r="BY190" s="183">
        <v>-908</v>
      </c>
      <c r="BZ190" s="183">
        <v>43526</v>
      </c>
      <c r="CA190" s="183">
        <v>-763</v>
      </c>
      <c r="CB190" s="167"/>
      <c r="CC190" s="183">
        <v>105</v>
      </c>
      <c r="CD190" s="183">
        <v>-7600</v>
      </c>
      <c r="CE190" s="180">
        <v>-9736</v>
      </c>
      <c r="CF190" s="139">
        <v>90251</v>
      </c>
      <c r="CG190" s="216">
        <v>80907</v>
      </c>
      <c r="CH190" s="216">
        <v>4025</v>
      </c>
      <c r="CI190" s="216">
        <v>5319</v>
      </c>
      <c r="CJ190" s="212">
        <v>20</v>
      </c>
      <c r="CK190" s="144"/>
      <c r="CL190" s="130">
        <v>75</v>
      </c>
      <c r="CM190" s="228">
        <v>19803</v>
      </c>
      <c r="CN190" s="138"/>
      <c r="CO190" s="142">
        <v>1.588707972087122</v>
      </c>
      <c r="CP190" s="142">
        <v>55.350049488617621</v>
      </c>
      <c r="CQ190" s="183">
        <v>-3498.5103267181739</v>
      </c>
      <c r="CR190" s="144"/>
      <c r="CS190"/>
      <c r="CU190" s="232">
        <v>51.625374103157689</v>
      </c>
      <c r="CV190" s="143">
        <v>421.40079785891027</v>
      </c>
      <c r="CW190" s="146">
        <v>18.64501971058495</v>
      </c>
      <c r="CX190" s="143">
        <v>8249.4571529566219</v>
      </c>
      <c r="CY190" s="131">
        <v>60385</v>
      </c>
      <c r="CZ190" s="229">
        <v>33973</v>
      </c>
      <c r="DA190" s="229">
        <v>136979</v>
      </c>
      <c r="DB190" s="216">
        <v>-103006</v>
      </c>
      <c r="DC190" s="229">
        <v>96295</v>
      </c>
      <c r="DD190" s="229">
        <v>21282</v>
      </c>
      <c r="DE190" s="151"/>
      <c r="DG190" s="229">
        <v>-658</v>
      </c>
      <c r="DH190" s="229">
        <v>455</v>
      </c>
      <c r="DI190" s="229">
        <v>14368</v>
      </c>
      <c r="DJ190" s="229">
        <v>10976</v>
      </c>
      <c r="DK190" s="229">
        <v>0</v>
      </c>
      <c r="DL190" s="229">
        <v>0</v>
      </c>
      <c r="DM190" s="229">
        <v>3392</v>
      </c>
      <c r="DN190" s="131">
        <v>620</v>
      </c>
      <c r="DO190" s="130">
        <v>0</v>
      </c>
      <c r="DP190" s="130">
        <v>0</v>
      </c>
      <c r="DQ190" s="130">
        <v>4012</v>
      </c>
      <c r="DR190" s="130">
        <v>47538</v>
      </c>
      <c r="DS190" s="130">
        <v>9643</v>
      </c>
      <c r="DT190" s="167"/>
      <c r="DU190" s="183">
        <v>-308</v>
      </c>
      <c r="DV190" s="183">
        <v>-8800</v>
      </c>
      <c r="DW190" s="180">
        <v>-2500</v>
      </c>
      <c r="DX190" s="130">
        <v>96295</v>
      </c>
      <c r="DY190" s="229">
        <v>86590</v>
      </c>
      <c r="DZ190" s="229">
        <v>4492</v>
      </c>
      <c r="EA190" s="229">
        <v>5213</v>
      </c>
      <c r="EB190" s="212">
        <v>20.5</v>
      </c>
      <c r="EC190" s="208"/>
      <c r="ED190" s="183">
        <v>119.5</v>
      </c>
      <c r="EE190" s="3">
        <v>51194</v>
      </c>
      <c r="EF190" s="183">
        <v>56487</v>
      </c>
      <c r="EG190" s="130">
        <v>58300</v>
      </c>
      <c r="EH190" s="130"/>
      <c r="EI190" s="130"/>
      <c r="EJ190" s="130"/>
      <c r="EK190" s="183">
        <v>-14868</v>
      </c>
      <c r="EL190" s="183">
        <v>9</v>
      </c>
      <c r="EM190" s="183">
        <v>6191</v>
      </c>
      <c r="EN190" s="226">
        <v>-16816</v>
      </c>
      <c r="EO190" s="226">
        <v>12</v>
      </c>
      <c r="EP190" s="226">
        <v>7831</v>
      </c>
      <c r="EQ190" s="226">
        <v>-16926</v>
      </c>
      <c r="ER190" s="230">
        <v>20</v>
      </c>
      <c r="ES190" s="230">
        <v>4763</v>
      </c>
      <c r="ET190" s="3">
        <v>7600</v>
      </c>
      <c r="EU190" s="211">
        <v>5000</v>
      </c>
      <c r="EV190" s="183">
        <v>18125</v>
      </c>
      <c r="EW190" s="183">
        <v>0</v>
      </c>
      <c r="EX190" s="130">
        <v>17150</v>
      </c>
      <c r="EY190" s="183">
        <v>-5000</v>
      </c>
      <c r="EZ190" s="3">
        <v>44250</v>
      </c>
      <c r="FA190" s="3">
        <v>31650</v>
      </c>
      <c r="FB190" s="3">
        <v>12600</v>
      </c>
      <c r="FC190" s="3">
        <v>0</v>
      </c>
      <c r="FD190" s="226">
        <v>54775</v>
      </c>
      <c r="FE190" s="183">
        <v>40975</v>
      </c>
      <c r="FF190" s="183">
        <v>13800</v>
      </c>
      <c r="FG190" s="183">
        <v>0</v>
      </c>
      <c r="FH190" s="230">
        <v>58125</v>
      </c>
      <c r="FI190" s="130">
        <v>48825</v>
      </c>
      <c r="FJ190" s="130">
        <v>9300</v>
      </c>
      <c r="FK190" s="130">
        <v>0</v>
      </c>
      <c r="FL190" s="29">
        <v>2538.6204047914089</v>
      </c>
      <c r="FM190" s="139">
        <v>3105.0298119553586</v>
      </c>
      <c r="FN190" s="139">
        <v>3311.8214411957783</v>
      </c>
      <c r="FO190" s="172">
        <f t="shared" si="6"/>
        <v>4223.9024390243903</v>
      </c>
      <c r="FP190" s="170">
        <f t="shared" si="7"/>
        <v>213.29608842217797</v>
      </c>
      <c r="FR190" s="175"/>
      <c r="FS190" s="195"/>
      <c r="FV190" s="175">
        <v>6822</v>
      </c>
      <c r="FW190" s="2">
        <f t="shared" si="8"/>
        <v>-6822</v>
      </c>
      <c r="FZ190" s="186"/>
      <c r="GA190" s="2"/>
      <c r="GB190" s="2"/>
    </row>
    <row r="191" spans="1:184" ht="13" x14ac:dyDescent="0.3">
      <c r="A191" s="77">
        <v>607</v>
      </c>
      <c r="B191" s="75" t="s">
        <v>183</v>
      </c>
      <c r="C191" s="179">
        <v>4307</v>
      </c>
      <c r="D191" s="138"/>
      <c r="E191" s="142">
        <v>2.809968847352025</v>
      </c>
      <c r="F191" s="142">
        <v>13.815369093660669</v>
      </c>
      <c r="G191" s="183">
        <v>579.98606918969119</v>
      </c>
      <c r="H191" s="144"/>
      <c r="I191" s="186"/>
      <c r="K191" s="210">
        <v>87.745725252995229</v>
      </c>
      <c r="L191" s="143">
        <v>1108.1959600650105</v>
      </c>
      <c r="M191" s="146">
        <v>49.533564584458794</v>
      </c>
      <c r="N191" s="143">
        <v>8166.0088228465283</v>
      </c>
      <c r="O191" s="138">
        <v>6961</v>
      </c>
      <c r="P191" s="143">
        <v>4005</v>
      </c>
      <c r="Q191" s="184">
        <v>29029</v>
      </c>
      <c r="R191" s="184">
        <v>-25024</v>
      </c>
      <c r="S191" s="139">
        <v>11249</v>
      </c>
      <c r="T191" s="138">
        <v>14481</v>
      </c>
      <c r="U191" s="151"/>
      <c r="W191" s="183">
        <v>-8</v>
      </c>
      <c r="X191" s="183">
        <v>183</v>
      </c>
      <c r="Y191" s="184">
        <v>881</v>
      </c>
      <c r="Z191" s="130">
        <v>1213</v>
      </c>
      <c r="AA191" s="131">
        <v>0</v>
      </c>
      <c r="AB191" s="130">
        <v>0</v>
      </c>
      <c r="AC191" s="184">
        <v>-332</v>
      </c>
      <c r="AD191" s="183">
        <v>374</v>
      </c>
      <c r="AE191" s="183">
        <v>0</v>
      </c>
      <c r="AF191" s="183">
        <v>0</v>
      </c>
      <c r="AG191" s="183">
        <v>42</v>
      </c>
      <c r="AH191" s="183">
        <v>8310</v>
      </c>
      <c r="AI191" s="183">
        <v>920</v>
      </c>
      <c r="AJ191" s="167"/>
      <c r="AK191" s="183">
        <v>-456</v>
      </c>
      <c r="AL191" s="183">
        <v>-300</v>
      </c>
      <c r="AM191" s="180">
        <v>-3858</v>
      </c>
      <c r="AN191" s="139">
        <v>11249</v>
      </c>
      <c r="AO191" s="138">
        <v>9223</v>
      </c>
      <c r="AP191" s="184">
        <v>1125</v>
      </c>
      <c r="AQ191" s="138">
        <v>901</v>
      </c>
      <c r="AR191" s="109">
        <v>20.25</v>
      </c>
      <c r="AS191" s="144"/>
      <c r="AT191" s="139">
        <v>164</v>
      </c>
      <c r="AU191" s="228">
        <v>4246</v>
      </c>
      <c r="AV191" s="138"/>
      <c r="AW191" s="224">
        <v>6.9959774738535803</v>
      </c>
      <c r="AX191" s="225">
        <v>8.7220499428757954</v>
      </c>
      <c r="AY191" s="139">
        <v>211.02213848327838</v>
      </c>
      <c r="AZ191" s="144"/>
      <c r="BA191"/>
      <c r="BC191" s="189">
        <v>91.312778130959956</v>
      </c>
      <c r="BD191" s="183">
        <v>659.67969853980208</v>
      </c>
      <c r="BE191" s="140">
        <v>31.142130433458224</v>
      </c>
      <c r="BF191" s="139">
        <v>7731.7475270843142</v>
      </c>
      <c r="BG191" s="184">
        <v>7401</v>
      </c>
      <c r="BH191" s="216">
        <v>4313</v>
      </c>
      <c r="BI191" s="216">
        <v>29854</v>
      </c>
      <c r="BJ191" s="216">
        <v>-25541</v>
      </c>
      <c r="BK191" s="216">
        <v>11660</v>
      </c>
      <c r="BL191" s="216">
        <v>14662</v>
      </c>
      <c r="BM191" s="151"/>
      <c r="BO191" s="216">
        <v>-3</v>
      </c>
      <c r="BP191" s="216">
        <v>296</v>
      </c>
      <c r="BQ191" s="216">
        <v>1074</v>
      </c>
      <c r="BR191" s="216">
        <v>2520</v>
      </c>
      <c r="BS191" s="216">
        <v>0</v>
      </c>
      <c r="BT191" s="216">
        <v>0</v>
      </c>
      <c r="BU191" s="216">
        <v>-1446</v>
      </c>
      <c r="BV191" s="183">
        <v>-1361</v>
      </c>
      <c r="BW191" s="183">
        <v>2606</v>
      </c>
      <c r="BX191" s="183">
        <v>0</v>
      </c>
      <c r="BY191" s="183">
        <v>-201</v>
      </c>
      <c r="BZ191" s="183">
        <v>8108</v>
      </c>
      <c r="CA191" s="183">
        <v>1029</v>
      </c>
      <c r="CB191" s="167"/>
      <c r="CC191" s="183">
        <v>978</v>
      </c>
      <c r="CD191" s="183">
        <v>-300</v>
      </c>
      <c r="CE191" s="180">
        <v>-1629</v>
      </c>
      <c r="CF191" s="139">
        <v>11660</v>
      </c>
      <c r="CG191" s="216">
        <v>9566</v>
      </c>
      <c r="CH191" s="216">
        <v>1198</v>
      </c>
      <c r="CI191" s="216">
        <v>896</v>
      </c>
      <c r="CJ191" s="212">
        <v>20.25</v>
      </c>
      <c r="CK191" s="144"/>
      <c r="CL191" s="130">
        <v>107</v>
      </c>
      <c r="CM191" s="228">
        <v>4201</v>
      </c>
      <c r="CN191" s="138"/>
      <c r="CO191" s="142">
        <v>5.3571428571428568</v>
      </c>
      <c r="CP191" s="142">
        <v>7.9660116834838028</v>
      </c>
      <c r="CQ191" s="183">
        <v>138.5384432278029</v>
      </c>
      <c r="CR191" s="144"/>
      <c r="CS191"/>
      <c r="CU191" s="232">
        <v>90.343760851036961</v>
      </c>
      <c r="CV191" s="143">
        <v>486.78885979528684</v>
      </c>
      <c r="CW191" s="146">
        <v>22.536986714975846</v>
      </c>
      <c r="CX191" s="143">
        <v>7883.837181623423</v>
      </c>
      <c r="CY191" s="131">
        <v>7328</v>
      </c>
      <c r="CZ191" s="229">
        <v>4318</v>
      </c>
      <c r="DA191" s="229">
        <v>30645</v>
      </c>
      <c r="DB191" s="216">
        <v>-26327</v>
      </c>
      <c r="DC191" s="229">
        <v>11770</v>
      </c>
      <c r="DD191" s="229">
        <v>15923</v>
      </c>
      <c r="DE191" s="151"/>
      <c r="DG191" s="229">
        <v>0</v>
      </c>
      <c r="DH191" s="229">
        <v>276</v>
      </c>
      <c r="DI191" s="229">
        <v>1642</v>
      </c>
      <c r="DJ191" s="229">
        <v>1551</v>
      </c>
      <c r="DK191" s="229">
        <v>0</v>
      </c>
      <c r="DL191" s="229">
        <v>0</v>
      </c>
      <c r="DM191" s="229">
        <v>91</v>
      </c>
      <c r="DN191" s="130">
        <v>452</v>
      </c>
      <c r="DO191" s="130">
        <v>-321</v>
      </c>
      <c r="DP191" s="130">
        <v>0</v>
      </c>
      <c r="DQ191" s="130">
        <v>222</v>
      </c>
      <c r="DR191" s="130">
        <v>8132</v>
      </c>
      <c r="DS191" s="130">
        <v>2090</v>
      </c>
      <c r="DT191" s="167"/>
      <c r="DU191" s="183">
        <v>-334</v>
      </c>
      <c r="DV191" s="183">
        <v>-300</v>
      </c>
      <c r="DW191" s="180">
        <v>-119</v>
      </c>
      <c r="DX191" s="130">
        <v>11770</v>
      </c>
      <c r="DY191" s="229">
        <v>9554</v>
      </c>
      <c r="DZ191" s="229">
        <v>1389</v>
      </c>
      <c r="EA191" s="229">
        <v>827</v>
      </c>
      <c r="EB191" s="212">
        <v>20.25</v>
      </c>
      <c r="EC191" s="208"/>
      <c r="ED191" s="183">
        <v>260.529411764705</v>
      </c>
      <c r="EE191" s="3">
        <v>19167</v>
      </c>
      <c r="EF191" s="183">
        <v>19631</v>
      </c>
      <c r="EG191" s="130">
        <v>20272</v>
      </c>
      <c r="EH191" s="130"/>
      <c r="EI191" s="130"/>
      <c r="EJ191" s="130"/>
      <c r="EK191" s="183">
        <v>-5771</v>
      </c>
      <c r="EL191" s="183">
        <v>970</v>
      </c>
      <c r="EM191" s="183">
        <v>23</v>
      </c>
      <c r="EN191" s="226">
        <v>-2658</v>
      </c>
      <c r="EO191" s="226">
        <v>0</v>
      </c>
      <c r="EP191" s="226">
        <v>0</v>
      </c>
      <c r="EQ191" s="226">
        <v>-2212</v>
      </c>
      <c r="ER191" s="230">
        <v>0</v>
      </c>
      <c r="ES191" s="230">
        <v>3</v>
      </c>
      <c r="ET191" s="3">
        <v>0</v>
      </c>
      <c r="EU191" s="211">
        <v>0</v>
      </c>
      <c r="EV191" s="183">
        <v>0</v>
      </c>
      <c r="EW191" s="183">
        <v>0</v>
      </c>
      <c r="EX191" s="130">
        <v>0</v>
      </c>
      <c r="EY191" s="183">
        <v>0</v>
      </c>
      <c r="EZ191" s="3">
        <v>750</v>
      </c>
      <c r="FA191" s="3">
        <v>450</v>
      </c>
      <c r="FB191" s="3">
        <v>300</v>
      </c>
      <c r="FC191" s="3">
        <v>135</v>
      </c>
      <c r="FD191" s="226">
        <v>450</v>
      </c>
      <c r="FE191" s="183">
        <v>150</v>
      </c>
      <c r="FF191" s="183">
        <v>300</v>
      </c>
      <c r="FG191" s="183">
        <v>107</v>
      </c>
      <c r="FH191" s="230">
        <v>150</v>
      </c>
      <c r="FI191" s="130">
        <v>0</v>
      </c>
      <c r="FJ191" s="130">
        <v>150</v>
      </c>
      <c r="FK191" s="130">
        <v>94</v>
      </c>
      <c r="FL191" s="29">
        <v>1208.0334339447411</v>
      </c>
      <c r="FM191" s="139">
        <v>1165.3320772491757</v>
      </c>
      <c r="FN191" s="139">
        <v>1524.8750297548204</v>
      </c>
      <c r="FO191" s="172">
        <f t="shared" si="6"/>
        <v>471.80246913580248</v>
      </c>
      <c r="FP191" s="170">
        <f t="shared" si="7"/>
        <v>112.30718141771067</v>
      </c>
      <c r="FR191" s="175"/>
      <c r="FS191" s="195"/>
      <c r="FV191" s="175">
        <v>329</v>
      </c>
      <c r="FW191" s="2">
        <f t="shared" si="8"/>
        <v>-329</v>
      </c>
      <c r="FZ191" s="186"/>
      <c r="GA191" s="2"/>
      <c r="GB191" s="2"/>
    </row>
    <row r="192" spans="1:184" ht="13" x14ac:dyDescent="0.3">
      <c r="A192" s="77">
        <v>608</v>
      </c>
      <c r="B192" s="75" t="s">
        <v>184</v>
      </c>
      <c r="C192" s="179">
        <v>2146</v>
      </c>
      <c r="D192" s="138"/>
      <c r="E192" s="142">
        <v>-0.53623188405797106</v>
      </c>
      <c r="F192" s="142">
        <v>37.405917466908903</v>
      </c>
      <c r="G192" s="183">
        <v>-2541.0065237651443</v>
      </c>
      <c r="H192" s="144"/>
      <c r="I192" s="186"/>
      <c r="K192" s="210">
        <v>57.311614938733584</v>
      </c>
      <c r="L192" s="143">
        <v>0</v>
      </c>
      <c r="M192" s="146">
        <v>0</v>
      </c>
      <c r="N192" s="143">
        <v>7520.969245107176</v>
      </c>
      <c r="O192" s="138">
        <v>4281</v>
      </c>
      <c r="P192" s="143">
        <v>1661</v>
      </c>
      <c r="Q192" s="184">
        <v>15583</v>
      </c>
      <c r="R192" s="184">
        <v>-13922</v>
      </c>
      <c r="S192" s="139">
        <v>6103</v>
      </c>
      <c r="T192" s="138">
        <v>7648</v>
      </c>
      <c r="U192" s="151"/>
      <c r="W192" s="183">
        <v>-8</v>
      </c>
      <c r="X192" s="183">
        <v>-27</v>
      </c>
      <c r="Y192" s="184">
        <v>-206</v>
      </c>
      <c r="Z192" s="130">
        <v>537</v>
      </c>
      <c r="AA192" s="130">
        <v>0</v>
      </c>
      <c r="AB192" s="130">
        <v>0</v>
      </c>
      <c r="AC192" s="184">
        <v>-743</v>
      </c>
      <c r="AD192" s="183">
        <v>0</v>
      </c>
      <c r="AE192" s="183">
        <v>0</v>
      </c>
      <c r="AF192" s="183">
        <v>0</v>
      </c>
      <c r="AG192" s="183">
        <v>-743</v>
      </c>
      <c r="AH192" s="183">
        <v>2506</v>
      </c>
      <c r="AI192" s="183">
        <v>-175</v>
      </c>
      <c r="AJ192" s="167"/>
      <c r="AK192" s="183">
        <v>466</v>
      </c>
      <c r="AL192" s="183">
        <v>-324</v>
      </c>
      <c r="AM192" s="180">
        <v>-326</v>
      </c>
      <c r="AN192" s="139">
        <v>6103</v>
      </c>
      <c r="AO192" s="138">
        <v>5032</v>
      </c>
      <c r="AP192" s="184">
        <v>540</v>
      </c>
      <c r="AQ192" s="138">
        <v>531</v>
      </c>
      <c r="AR192" s="109">
        <v>20.5</v>
      </c>
      <c r="AS192" s="144"/>
      <c r="AT192" s="139">
        <v>272</v>
      </c>
      <c r="AU192" s="228">
        <v>2089</v>
      </c>
      <c r="AV192" s="138"/>
      <c r="AW192" s="224">
        <v>0.99665946158380825</v>
      </c>
      <c r="AX192" s="225">
        <v>36.71602787456446</v>
      </c>
      <c r="AY192" s="139">
        <v>-2636.6682623264719</v>
      </c>
      <c r="AZ192" s="144"/>
      <c r="BA192"/>
      <c r="BC192" s="189">
        <v>56.81376430782521</v>
      </c>
      <c r="BD192" s="183">
        <v>0</v>
      </c>
      <c r="BE192" s="140">
        <v>0</v>
      </c>
      <c r="BF192" s="139">
        <v>7917.1852561033984</v>
      </c>
      <c r="BG192" s="184">
        <v>4133</v>
      </c>
      <c r="BH192" s="216">
        <v>1613</v>
      </c>
      <c r="BI192" s="216">
        <v>15454</v>
      </c>
      <c r="BJ192" s="216">
        <v>-13841</v>
      </c>
      <c r="BK192" s="216">
        <v>7067</v>
      </c>
      <c r="BL192" s="216">
        <v>7392</v>
      </c>
      <c r="BM192" s="151"/>
      <c r="BO192" s="216">
        <v>-4</v>
      </c>
      <c r="BP192" s="216">
        <v>4</v>
      </c>
      <c r="BQ192" s="216">
        <v>618</v>
      </c>
      <c r="BR192" s="216">
        <v>523</v>
      </c>
      <c r="BS192" s="216">
        <v>0</v>
      </c>
      <c r="BT192" s="216">
        <v>0</v>
      </c>
      <c r="BU192" s="216">
        <v>95</v>
      </c>
      <c r="BV192" s="183">
        <v>0</v>
      </c>
      <c r="BW192" s="183">
        <v>0</v>
      </c>
      <c r="BX192" s="183">
        <v>0</v>
      </c>
      <c r="BY192" s="183">
        <v>95</v>
      </c>
      <c r="BZ192" s="183">
        <v>2587</v>
      </c>
      <c r="CA192" s="183">
        <v>659</v>
      </c>
      <c r="CB192" s="167"/>
      <c r="CC192" s="183">
        <v>-82</v>
      </c>
      <c r="CD192" s="183">
        <v>-324</v>
      </c>
      <c r="CE192" s="180">
        <v>-70</v>
      </c>
      <c r="CF192" s="139">
        <v>7067</v>
      </c>
      <c r="CG192" s="216">
        <v>5910</v>
      </c>
      <c r="CH192" s="216">
        <v>583</v>
      </c>
      <c r="CI192" s="216">
        <v>574</v>
      </c>
      <c r="CJ192" s="212">
        <v>21.5</v>
      </c>
      <c r="CK192" s="144"/>
      <c r="CL192" s="130">
        <v>88</v>
      </c>
      <c r="CM192" s="228">
        <v>2063</v>
      </c>
      <c r="CN192" s="138"/>
      <c r="CO192" s="142">
        <v>1.340725806451613</v>
      </c>
      <c r="CP192" s="142">
        <v>35.28094082508867</v>
      </c>
      <c r="CQ192" s="183">
        <v>-2454.6776539020843</v>
      </c>
      <c r="CR192" s="144"/>
      <c r="CS192"/>
      <c r="CU192" s="232">
        <v>58.269608914135894</v>
      </c>
      <c r="CV192" s="143">
        <v>0</v>
      </c>
      <c r="CW192" s="146">
        <v>0</v>
      </c>
      <c r="CX192" s="143">
        <v>7819.1953465826464</v>
      </c>
      <c r="CY192" s="131">
        <v>4089</v>
      </c>
      <c r="CZ192" s="229">
        <v>1467</v>
      </c>
      <c r="DA192" s="229">
        <v>15413</v>
      </c>
      <c r="DB192" s="216">
        <v>-13946</v>
      </c>
      <c r="DC192" s="229">
        <v>6864</v>
      </c>
      <c r="DD192" s="229">
        <v>7740</v>
      </c>
      <c r="DE192" s="151"/>
      <c r="DG192" s="229">
        <v>-15</v>
      </c>
      <c r="DH192" s="229">
        <v>1</v>
      </c>
      <c r="DI192" s="229">
        <v>644</v>
      </c>
      <c r="DJ192" s="229">
        <v>536</v>
      </c>
      <c r="DK192" s="229">
        <v>0</v>
      </c>
      <c r="DL192" s="229">
        <v>0</v>
      </c>
      <c r="DM192" s="229">
        <v>108</v>
      </c>
      <c r="DN192" s="130">
        <v>0</v>
      </c>
      <c r="DO192" s="130">
        <v>0</v>
      </c>
      <c r="DP192" s="130">
        <v>0</v>
      </c>
      <c r="DQ192" s="130">
        <v>108</v>
      </c>
      <c r="DR192" s="130">
        <v>2696</v>
      </c>
      <c r="DS192" s="130">
        <v>605</v>
      </c>
      <c r="DT192" s="167"/>
      <c r="DU192" s="183">
        <v>-213</v>
      </c>
      <c r="DV192" s="183">
        <v>-475</v>
      </c>
      <c r="DW192" s="180">
        <v>395</v>
      </c>
      <c r="DX192" s="130">
        <v>6864</v>
      </c>
      <c r="DY192" s="229">
        <v>5712</v>
      </c>
      <c r="DZ192" s="229">
        <v>640</v>
      </c>
      <c r="EA192" s="229">
        <v>512</v>
      </c>
      <c r="EB192" s="212">
        <v>21.5</v>
      </c>
      <c r="EC192" s="208"/>
      <c r="ED192" s="183">
        <v>273.625</v>
      </c>
      <c r="EE192" s="3">
        <v>10082</v>
      </c>
      <c r="EF192" s="183">
        <v>10284</v>
      </c>
      <c r="EG192" s="130">
        <v>10237</v>
      </c>
      <c r="EH192" s="130"/>
      <c r="EI192" s="130">
        <v>300</v>
      </c>
      <c r="EJ192" s="130"/>
      <c r="EK192" s="183">
        <v>-163</v>
      </c>
      <c r="EL192" s="183">
        <v>0</v>
      </c>
      <c r="EM192" s="183">
        <v>12</v>
      </c>
      <c r="EN192" s="226">
        <v>-739</v>
      </c>
      <c r="EO192" s="226">
        <v>10</v>
      </c>
      <c r="EP192" s="226">
        <v>0</v>
      </c>
      <c r="EQ192" s="226">
        <v>-216</v>
      </c>
      <c r="ER192" s="230">
        <v>0</v>
      </c>
      <c r="ES192" s="230">
        <v>6</v>
      </c>
      <c r="ET192" s="3">
        <v>0</v>
      </c>
      <c r="EU192" s="211">
        <v>-23</v>
      </c>
      <c r="EV192" s="183">
        <v>1500</v>
      </c>
      <c r="EW192" s="183">
        <v>-846</v>
      </c>
      <c r="EX192" s="130">
        <v>0</v>
      </c>
      <c r="EY192" s="183">
        <v>355</v>
      </c>
      <c r="EZ192" s="3">
        <v>3892</v>
      </c>
      <c r="FA192" s="3">
        <v>1702</v>
      </c>
      <c r="FB192" s="3">
        <v>2190</v>
      </c>
      <c r="FC192" s="3">
        <v>451</v>
      </c>
      <c r="FD192" s="226">
        <v>4222</v>
      </c>
      <c r="FE192" s="183">
        <v>2728</v>
      </c>
      <c r="FF192" s="183">
        <v>1494</v>
      </c>
      <c r="FG192" s="183">
        <v>422</v>
      </c>
      <c r="FH192" s="230">
        <v>4102</v>
      </c>
      <c r="FI192" s="130">
        <v>2254</v>
      </c>
      <c r="FJ192" s="130">
        <v>1848</v>
      </c>
      <c r="FK192" s="130">
        <v>417</v>
      </c>
      <c r="FL192" s="29">
        <v>2344.8275862068963</v>
      </c>
      <c r="FM192" s="139">
        <v>2573.9588319770228</v>
      </c>
      <c r="FN192" s="139">
        <v>2537.5666505089675</v>
      </c>
      <c r="FO192" s="172">
        <f t="shared" si="6"/>
        <v>265.67441860465118</v>
      </c>
      <c r="FP192" s="170">
        <f t="shared" si="7"/>
        <v>128.78061977927831</v>
      </c>
      <c r="FR192" s="175"/>
      <c r="FS192" s="195"/>
      <c r="FV192" s="175">
        <v>244</v>
      </c>
      <c r="FW192" s="2">
        <f t="shared" si="8"/>
        <v>-244</v>
      </c>
      <c r="FZ192" s="186"/>
      <c r="GA192" s="2"/>
      <c r="GB192" s="2"/>
    </row>
    <row r="193" spans="1:184" ht="13" x14ac:dyDescent="0.3">
      <c r="A193" s="77">
        <v>609</v>
      </c>
      <c r="B193" s="75" t="s">
        <v>185</v>
      </c>
      <c r="C193" s="179">
        <v>84403</v>
      </c>
      <c r="D193" s="138"/>
      <c r="E193" s="142">
        <v>0.37070048011818296</v>
      </c>
      <c r="F193" s="142">
        <v>55.669557492573425</v>
      </c>
      <c r="G193" s="183">
        <v>-3116.8441880027958</v>
      </c>
      <c r="H193" s="144"/>
      <c r="I193" s="186"/>
      <c r="K193" s="210">
        <v>56.938409328629611</v>
      </c>
      <c r="L193" s="143">
        <v>95.150646304041331</v>
      </c>
      <c r="M193" s="146">
        <v>4.1266539684684869</v>
      </c>
      <c r="N193" s="143">
        <v>8416.0160183879725</v>
      </c>
      <c r="O193" s="138">
        <v>266302</v>
      </c>
      <c r="P193" s="143">
        <v>202447</v>
      </c>
      <c r="Q193" s="184">
        <v>644514</v>
      </c>
      <c r="R193" s="184">
        <v>-442067</v>
      </c>
      <c r="S193" s="139">
        <v>306557</v>
      </c>
      <c r="T193" s="138">
        <v>140787</v>
      </c>
      <c r="U193" s="151"/>
      <c r="W193" s="183">
        <v>3526</v>
      </c>
      <c r="X193" s="183">
        <v>3327</v>
      </c>
      <c r="Y193" s="184">
        <v>12130</v>
      </c>
      <c r="Z193" s="130">
        <v>25837</v>
      </c>
      <c r="AA193" s="130">
        <v>0</v>
      </c>
      <c r="AB193" s="130">
        <v>0</v>
      </c>
      <c r="AC193" s="184">
        <v>-13707</v>
      </c>
      <c r="AD193" s="183">
        <v>33</v>
      </c>
      <c r="AE193" s="184">
        <v>0</v>
      </c>
      <c r="AF193" s="183">
        <v>-180</v>
      </c>
      <c r="AG193" s="183">
        <v>-13854</v>
      </c>
      <c r="AH193" s="183">
        <v>73155</v>
      </c>
      <c r="AI193" s="183">
        <v>3571</v>
      </c>
      <c r="AJ193" s="167"/>
      <c r="AK193" s="183">
        <v>-53335</v>
      </c>
      <c r="AL193" s="183">
        <v>-37689</v>
      </c>
      <c r="AM193" s="180">
        <v>-22860</v>
      </c>
      <c r="AN193" s="139">
        <v>306557</v>
      </c>
      <c r="AO193" s="138">
        <v>265797</v>
      </c>
      <c r="AP193" s="184">
        <v>16332</v>
      </c>
      <c r="AQ193" s="138">
        <v>24428</v>
      </c>
      <c r="AR193" s="109">
        <v>19.75</v>
      </c>
      <c r="AS193" s="144"/>
      <c r="AT193" s="139">
        <v>201</v>
      </c>
      <c r="AU193" s="228">
        <v>83934</v>
      </c>
      <c r="AV193" s="138"/>
      <c r="AW193" s="224">
        <v>9.9128203910017337E-2</v>
      </c>
      <c r="AX193" s="225">
        <v>57.76893048186399</v>
      </c>
      <c r="AY193" s="139">
        <v>-3537.1244072723807</v>
      </c>
      <c r="AZ193" s="144"/>
      <c r="BA193"/>
      <c r="BC193" s="189">
        <v>54.798295018830629</v>
      </c>
      <c r="BD193" s="183">
        <v>73.402911811661539</v>
      </c>
      <c r="BE193" s="140">
        <v>3.0915193607901039</v>
      </c>
      <c r="BF193" s="139">
        <v>8666.3092429766239</v>
      </c>
      <c r="BG193" s="184">
        <v>273009</v>
      </c>
      <c r="BH193" s="216">
        <v>188340</v>
      </c>
      <c r="BI193" s="216">
        <v>662980</v>
      </c>
      <c r="BJ193" s="216">
        <v>-459579</v>
      </c>
      <c r="BK193" s="216">
        <v>314442</v>
      </c>
      <c r="BL193" s="216">
        <v>141985</v>
      </c>
      <c r="BM193" s="151"/>
      <c r="BO193" s="216">
        <v>1982</v>
      </c>
      <c r="BP193" s="216">
        <v>2461</v>
      </c>
      <c r="BQ193" s="216">
        <v>1291</v>
      </c>
      <c r="BR193" s="216">
        <v>30194</v>
      </c>
      <c r="BS193" s="216">
        <v>0</v>
      </c>
      <c r="BT193" s="216">
        <v>0</v>
      </c>
      <c r="BU193" s="216">
        <v>-28903</v>
      </c>
      <c r="BV193" s="183">
        <v>33</v>
      </c>
      <c r="BW193" s="184">
        <v>0</v>
      </c>
      <c r="BX193" s="183">
        <v>43</v>
      </c>
      <c r="BY193" s="183">
        <v>-28827</v>
      </c>
      <c r="BZ193" s="183">
        <v>44460</v>
      </c>
      <c r="CA193" s="183">
        <v>-6409</v>
      </c>
      <c r="CB193" s="167"/>
      <c r="CC193" s="183">
        <v>12906</v>
      </c>
      <c r="CD193" s="183">
        <v>-39031</v>
      </c>
      <c r="CE193" s="180">
        <v>-31455</v>
      </c>
      <c r="CF193" s="139">
        <v>314442</v>
      </c>
      <c r="CG193" s="216">
        <v>273458</v>
      </c>
      <c r="CH193" s="216">
        <v>17286</v>
      </c>
      <c r="CI193" s="216">
        <v>23698</v>
      </c>
      <c r="CJ193" s="212">
        <v>20.25</v>
      </c>
      <c r="CK193" s="144"/>
      <c r="CL193" s="130">
        <v>223</v>
      </c>
      <c r="CM193" s="228">
        <v>83684</v>
      </c>
      <c r="CN193" s="138"/>
      <c r="CO193" s="142">
        <v>0.73771125475121868</v>
      </c>
      <c r="CP193" s="142">
        <v>57.260133628974401</v>
      </c>
      <c r="CQ193" s="183">
        <v>-3486.8314134123607</v>
      </c>
      <c r="CR193" s="144"/>
      <c r="CS193"/>
      <c r="CU193" s="232">
        <v>53.946311935765692</v>
      </c>
      <c r="CV193" s="143">
        <v>400.14817647339993</v>
      </c>
      <c r="CW193" s="146">
        <v>16.674383768710676</v>
      </c>
      <c r="CX193" s="143">
        <v>8759.1893312939155</v>
      </c>
      <c r="CY193" s="131">
        <v>275547</v>
      </c>
      <c r="CZ193" s="229">
        <v>193330</v>
      </c>
      <c r="DA193" s="229">
        <v>664314</v>
      </c>
      <c r="DB193" s="216">
        <v>-470984</v>
      </c>
      <c r="DC193" s="229">
        <v>322114</v>
      </c>
      <c r="DD193" s="229">
        <v>176539</v>
      </c>
      <c r="DE193" s="151"/>
      <c r="DG193" s="229">
        <v>2671</v>
      </c>
      <c r="DH193" s="229">
        <v>1946</v>
      </c>
      <c r="DI193" s="229">
        <v>32286</v>
      </c>
      <c r="DJ193" s="229">
        <v>28101</v>
      </c>
      <c r="DK193" s="229">
        <v>0</v>
      </c>
      <c r="DL193" s="229">
        <v>0</v>
      </c>
      <c r="DM193" s="229">
        <v>4185</v>
      </c>
      <c r="DN193" s="130">
        <v>33</v>
      </c>
      <c r="DO193" s="131">
        <v>0</v>
      </c>
      <c r="DP193" s="130">
        <v>-59</v>
      </c>
      <c r="DQ193" s="130">
        <v>4159</v>
      </c>
      <c r="DR193" s="130">
        <v>48619</v>
      </c>
      <c r="DS193" s="130">
        <v>25173</v>
      </c>
      <c r="DT193" s="167"/>
      <c r="DU193" s="183">
        <v>6827</v>
      </c>
      <c r="DV193" s="183">
        <v>-44500</v>
      </c>
      <c r="DW193" s="180">
        <v>-377</v>
      </c>
      <c r="DX193" s="130">
        <v>322114</v>
      </c>
      <c r="DY193" s="229">
        <v>282016</v>
      </c>
      <c r="DZ193" s="229">
        <v>17516</v>
      </c>
      <c r="EA193" s="229">
        <v>22582</v>
      </c>
      <c r="EB193" s="212">
        <v>20.25</v>
      </c>
      <c r="EC193" s="208"/>
      <c r="ED193" s="183">
        <v>261.53676470588198</v>
      </c>
      <c r="EE193" s="3">
        <v>255761</v>
      </c>
      <c r="EF193" s="183">
        <v>265254</v>
      </c>
      <c r="EG193" s="130">
        <v>266010</v>
      </c>
      <c r="EH193" s="130"/>
      <c r="EI193" s="130"/>
      <c r="EJ193" s="130"/>
      <c r="EK193" s="183">
        <v>-39766</v>
      </c>
      <c r="EL193" s="183">
        <v>1776</v>
      </c>
      <c r="EM193" s="183">
        <v>11559</v>
      </c>
      <c r="EN193" s="226">
        <v>-37264</v>
      </c>
      <c r="EO193" s="226">
        <v>968</v>
      </c>
      <c r="EP193" s="226">
        <v>11250</v>
      </c>
      <c r="EQ193" s="226">
        <v>-35832</v>
      </c>
      <c r="ER193" s="230">
        <v>1388</v>
      </c>
      <c r="ES193" s="230">
        <v>8894</v>
      </c>
      <c r="ET193" s="3">
        <v>40000</v>
      </c>
      <c r="EU193" s="211">
        <v>11777</v>
      </c>
      <c r="EV193" s="183">
        <v>54000</v>
      </c>
      <c r="EW193" s="183">
        <v>-659</v>
      </c>
      <c r="EX193" s="130">
        <v>63000</v>
      </c>
      <c r="EY193" s="183">
        <v>-5514</v>
      </c>
      <c r="EZ193" s="3">
        <v>257586</v>
      </c>
      <c r="FA193" s="3">
        <v>144993</v>
      </c>
      <c r="FB193" s="3">
        <v>112593</v>
      </c>
      <c r="FC193" s="3">
        <v>138528</v>
      </c>
      <c r="FD193" s="226">
        <v>271895</v>
      </c>
      <c r="FE193" s="183">
        <v>156642</v>
      </c>
      <c r="FF193" s="183">
        <v>115253</v>
      </c>
      <c r="FG193" s="183">
        <v>134970</v>
      </c>
      <c r="FH193" s="230">
        <v>284881</v>
      </c>
      <c r="FI193" s="130">
        <v>174417</v>
      </c>
      <c r="FJ193" s="130">
        <v>110464</v>
      </c>
      <c r="FK193" s="130">
        <v>132377</v>
      </c>
      <c r="FL193" s="29">
        <v>5913.4035520064454</v>
      </c>
      <c r="FM193" s="139">
        <v>6603.5456430052182</v>
      </c>
      <c r="FN193" s="139">
        <v>6792.6007361024804</v>
      </c>
      <c r="FO193" s="172">
        <f t="shared" si="6"/>
        <v>13926.716049382716</v>
      </c>
      <c r="FP193" s="170">
        <f t="shared" si="7"/>
        <v>166.42029598707896</v>
      </c>
      <c r="FR193" s="175"/>
      <c r="FS193" s="195"/>
      <c r="FV193" s="175">
        <v>28427</v>
      </c>
      <c r="FW193" s="2">
        <f t="shared" si="8"/>
        <v>-28427</v>
      </c>
      <c r="FZ193" s="186"/>
      <c r="GA193" s="2"/>
      <c r="GB193" s="2"/>
    </row>
    <row r="194" spans="1:184" ht="13" x14ac:dyDescent="0.3">
      <c r="A194" s="77">
        <v>611</v>
      </c>
      <c r="B194" s="75" t="s">
        <v>186</v>
      </c>
      <c r="C194" s="179">
        <v>5068</v>
      </c>
      <c r="D194" s="138"/>
      <c r="E194" s="142">
        <v>2.3313856427378963</v>
      </c>
      <c r="F194" s="142">
        <v>48.704708559425868</v>
      </c>
      <c r="G194" s="183">
        <v>-1701.0655090765588</v>
      </c>
      <c r="H194" s="144"/>
      <c r="I194" s="186"/>
      <c r="K194" s="210">
        <v>51.663546017571655</v>
      </c>
      <c r="L194" s="143">
        <v>1360.2999210734017</v>
      </c>
      <c r="M194" s="146">
        <v>73.896100082227179</v>
      </c>
      <c r="N194" s="143">
        <v>6719.0213101815307</v>
      </c>
      <c r="O194" s="138">
        <v>6483</v>
      </c>
      <c r="P194" s="143">
        <v>8972</v>
      </c>
      <c r="Q194" s="184">
        <v>31506</v>
      </c>
      <c r="R194" s="184">
        <v>-22534</v>
      </c>
      <c r="S194" s="139">
        <v>19682</v>
      </c>
      <c r="T194" s="138">
        <v>5624</v>
      </c>
      <c r="U194" s="151"/>
      <c r="W194" s="183">
        <v>-148</v>
      </c>
      <c r="X194" s="183">
        <v>5</v>
      </c>
      <c r="Y194" s="184">
        <v>2629</v>
      </c>
      <c r="Z194" s="130">
        <v>1626</v>
      </c>
      <c r="AA194" s="130">
        <v>0</v>
      </c>
      <c r="AB194" s="130">
        <v>109</v>
      </c>
      <c r="AC194" s="184">
        <v>894</v>
      </c>
      <c r="AD194" s="183">
        <v>0</v>
      </c>
      <c r="AE194" s="183">
        <v>0</v>
      </c>
      <c r="AF194" s="183">
        <v>0</v>
      </c>
      <c r="AG194" s="183">
        <v>894</v>
      </c>
      <c r="AH194" s="183">
        <v>9887</v>
      </c>
      <c r="AI194" s="183">
        <v>2236</v>
      </c>
      <c r="AJ194" s="167"/>
      <c r="AK194" s="183">
        <v>1652</v>
      </c>
      <c r="AL194" s="183">
        <v>-1034</v>
      </c>
      <c r="AM194" s="180">
        <v>1929</v>
      </c>
      <c r="AN194" s="139">
        <v>19682</v>
      </c>
      <c r="AO194" s="138">
        <v>17786</v>
      </c>
      <c r="AP194" s="184">
        <v>726</v>
      </c>
      <c r="AQ194" s="138">
        <v>1170</v>
      </c>
      <c r="AR194" s="109">
        <v>20.5</v>
      </c>
      <c r="AS194" s="144"/>
      <c r="AT194" s="139">
        <v>41</v>
      </c>
      <c r="AU194" s="228">
        <v>5035</v>
      </c>
      <c r="AV194" s="138"/>
      <c r="AW194" s="224">
        <v>0.66598629537833498</v>
      </c>
      <c r="AX194" s="225">
        <v>53.980534939084158</v>
      </c>
      <c r="AY194" s="139">
        <v>-1838.7288977159881</v>
      </c>
      <c r="AZ194" s="144"/>
      <c r="BA194"/>
      <c r="BC194" s="189">
        <v>52.731265440570958</v>
      </c>
      <c r="BD194" s="183">
        <v>1072.6911618669315</v>
      </c>
      <c r="BE194" s="140">
        <v>63.516609208364208</v>
      </c>
      <c r="BF194" s="139">
        <v>6164.2502482621649</v>
      </c>
      <c r="BG194" s="184">
        <v>8516</v>
      </c>
      <c r="BH194" s="216">
        <v>2948</v>
      </c>
      <c r="BI194" s="216">
        <v>27452</v>
      </c>
      <c r="BJ194" s="216">
        <v>-24504</v>
      </c>
      <c r="BK194" s="216">
        <v>20003</v>
      </c>
      <c r="BL194" s="216">
        <v>5613</v>
      </c>
      <c r="BM194" s="151"/>
      <c r="BO194" s="216">
        <v>-90</v>
      </c>
      <c r="BP194" s="216">
        <v>-2</v>
      </c>
      <c r="BQ194" s="216">
        <v>1020</v>
      </c>
      <c r="BR194" s="216">
        <v>1667</v>
      </c>
      <c r="BS194" s="216">
        <v>0</v>
      </c>
      <c r="BT194" s="216">
        <v>0</v>
      </c>
      <c r="BU194" s="216">
        <v>-647</v>
      </c>
      <c r="BV194" s="183">
        <v>0</v>
      </c>
      <c r="BW194" s="183">
        <v>0</v>
      </c>
      <c r="BX194" s="183">
        <v>0</v>
      </c>
      <c r="BY194" s="183">
        <v>-647</v>
      </c>
      <c r="BZ194" s="183">
        <v>9241</v>
      </c>
      <c r="CA194" s="183">
        <v>934</v>
      </c>
      <c r="CB194" s="167"/>
      <c r="CC194" s="183">
        <v>419</v>
      </c>
      <c r="CD194" s="183">
        <v>-1715</v>
      </c>
      <c r="CE194" s="180">
        <v>-631</v>
      </c>
      <c r="CF194" s="139">
        <v>20003</v>
      </c>
      <c r="CG194" s="216">
        <v>18196</v>
      </c>
      <c r="CH194" s="216">
        <v>619</v>
      </c>
      <c r="CI194" s="216">
        <v>1188</v>
      </c>
      <c r="CJ194" s="212">
        <v>20.5</v>
      </c>
      <c r="CK194" s="144"/>
      <c r="CL194" s="130">
        <v>127</v>
      </c>
      <c r="CM194" s="228">
        <v>5070</v>
      </c>
      <c r="CN194" s="138"/>
      <c r="CO194" s="142">
        <v>1.3486394557823129</v>
      </c>
      <c r="CP194" s="142">
        <v>43.757289204097717</v>
      </c>
      <c r="CQ194" s="183">
        <v>-1435.8974358974358</v>
      </c>
      <c r="CR194" s="144"/>
      <c r="CS194"/>
      <c r="CU194" s="232">
        <v>56.995377503852083</v>
      </c>
      <c r="CV194" s="143">
        <v>1183.0374753451676</v>
      </c>
      <c r="CW194" s="146">
        <v>68.118796477799563</v>
      </c>
      <c r="CX194" s="143">
        <v>6339.0532544378702</v>
      </c>
      <c r="CY194" s="131">
        <v>8336</v>
      </c>
      <c r="CZ194" s="229">
        <v>2857</v>
      </c>
      <c r="DA194" s="229">
        <v>28597</v>
      </c>
      <c r="DB194" s="216">
        <v>-25740</v>
      </c>
      <c r="DC194" s="229">
        <v>21214</v>
      </c>
      <c r="DD194" s="229">
        <v>7654</v>
      </c>
      <c r="DE194" s="151"/>
      <c r="DG194" s="229">
        <v>-91</v>
      </c>
      <c r="DH194" s="229">
        <v>44</v>
      </c>
      <c r="DI194" s="229">
        <v>3081</v>
      </c>
      <c r="DJ194" s="229">
        <v>1876</v>
      </c>
      <c r="DK194" s="229">
        <v>0</v>
      </c>
      <c r="DL194" s="229">
        <v>0</v>
      </c>
      <c r="DM194" s="229">
        <v>1205</v>
      </c>
      <c r="DN194" s="130">
        <v>0</v>
      </c>
      <c r="DO194" s="130">
        <v>0</v>
      </c>
      <c r="DP194" s="130">
        <v>0</v>
      </c>
      <c r="DQ194" s="130">
        <v>1205</v>
      </c>
      <c r="DR194" s="130">
        <v>10447</v>
      </c>
      <c r="DS194" s="130">
        <v>2874</v>
      </c>
      <c r="DT194" s="167"/>
      <c r="DU194" s="183">
        <v>-153</v>
      </c>
      <c r="DV194" s="183">
        <v>-2261</v>
      </c>
      <c r="DW194" s="180">
        <v>1973</v>
      </c>
      <c r="DX194" s="130">
        <v>21214</v>
      </c>
      <c r="DY194" s="229">
        <v>19524</v>
      </c>
      <c r="DZ194" s="229">
        <v>600</v>
      </c>
      <c r="EA194" s="229">
        <v>1090</v>
      </c>
      <c r="EB194" s="212">
        <v>20.5</v>
      </c>
      <c r="EC194" s="208"/>
      <c r="ED194" s="183">
        <v>179.941176470588</v>
      </c>
      <c r="EE194" s="3">
        <v>23385</v>
      </c>
      <c r="EF194" s="183">
        <v>16275</v>
      </c>
      <c r="EG194" s="130">
        <v>17573</v>
      </c>
      <c r="EH194" s="130"/>
      <c r="EI194" s="130"/>
      <c r="EJ194" s="130"/>
      <c r="EK194" s="183">
        <v>-1296</v>
      </c>
      <c r="EL194" s="183">
        <v>0</v>
      </c>
      <c r="EM194" s="183">
        <v>989</v>
      </c>
      <c r="EN194" s="226">
        <v>-1742</v>
      </c>
      <c r="EO194" s="226">
        <v>82</v>
      </c>
      <c r="EP194" s="226">
        <v>95</v>
      </c>
      <c r="EQ194" s="226">
        <v>-1189</v>
      </c>
      <c r="ER194" s="230">
        <v>56</v>
      </c>
      <c r="ES194" s="230">
        <v>232</v>
      </c>
      <c r="ET194" s="3">
        <v>0</v>
      </c>
      <c r="EU194" s="211">
        <v>0</v>
      </c>
      <c r="EV194" s="183">
        <v>0</v>
      </c>
      <c r="EW194" s="183">
        <v>0</v>
      </c>
      <c r="EX194" s="130">
        <v>0</v>
      </c>
      <c r="EY194" s="183">
        <v>0</v>
      </c>
      <c r="EZ194" s="3">
        <v>13452</v>
      </c>
      <c r="FA194" s="3">
        <v>11737</v>
      </c>
      <c r="FB194" s="3">
        <v>1715</v>
      </c>
      <c r="FC194" s="3">
        <v>52</v>
      </c>
      <c r="FD194" s="226">
        <v>11737</v>
      </c>
      <c r="FE194" s="183">
        <v>9476</v>
      </c>
      <c r="FF194" s="183">
        <v>2261</v>
      </c>
      <c r="FG194" s="183">
        <v>0</v>
      </c>
      <c r="FH194" s="230">
        <v>9477</v>
      </c>
      <c r="FI194" s="130">
        <v>6852</v>
      </c>
      <c r="FJ194" s="130">
        <v>2625</v>
      </c>
      <c r="FK194" s="130">
        <v>0</v>
      </c>
      <c r="FL194" s="29">
        <v>2873.3228097868982</v>
      </c>
      <c r="FM194" s="139">
        <v>2750.5461767626612</v>
      </c>
      <c r="FN194" s="139">
        <v>2283.8264299802763</v>
      </c>
      <c r="FO194" s="172">
        <f t="shared" si="6"/>
        <v>952.39024390243901</v>
      </c>
      <c r="FP194" s="170">
        <f t="shared" si="7"/>
        <v>187.84817433973154</v>
      </c>
      <c r="FR194" s="175"/>
      <c r="FS194" s="195"/>
      <c r="FV194" s="175">
        <v>1441</v>
      </c>
      <c r="FW194" s="2">
        <f t="shared" si="8"/>
        <v>-1441</v>
      </c>
      <c r="FZ194" s="186"/>
      <c r="GA194" s="2"/>
      <c r="GB194" s="2"/>
    </row>
    <row r="195" spans="1:184" ht="13" x14ac:dyDescent="0.3">
      <c r="A195" s="77">
        <v>638</v>
      </c>
      <c r="B195" s="75" t="s">
        <v>200</v>
      </c>
      <c r="C195" s="179">
        <v>50262</v>
      </c>
      <c r="D195" s="138"/>
      <c r="E195" s="142">
        <v>1.3175547622195778</v>
      </c>
      <c r="F195" s="142">
        <v>61.398960056053717</v>
      </c>
      <c r="G195" s="183">
        <v>-3431.9764434363933</v>
      </c>
      <c r="H195" s="144"/>
      <c r="I195" s="186"/>
      <c r="K195" s="210">
        <v>39.620834728734096</v>
      </c>
      <c r="L195" s="143">
        <v>611.79419840038202</v>
      </c>
      <c r="M195" s="146">
        <v>27.920609570434937</v>
      </c>
      <c r="N195" s="143">
        <v>7997.8512594007398</v>
      </c>
      <c r="O195" s="138">
        <v>147232</v>
      </c>
      <c r="P195" s="143">
        <v>74366</v>
      </c>
      <c r="Q195" s="184">
        <v>327090</v>
      </c>
      <c r="R195" s="184">
        <v>-252724</v>
      </c>
      <c r="S195" s="139">
        <v>229152</v>
      </c>
      <c r="T195" s="138">
        <v>50465</v>
      </c>
      <c r="U195" s="151"/>
      <c r="W195" s="183">
        <v>-677</v>
      </c>
      <c r="X195" s="183">
        <v>2940</v>
      </c>
      <c r="Y195" s="184">
        <v>29156</v>
      </c>
      <c r="Z195" s="130">
        <v>26157</v>
      </c>
      <c r="AA195" s="131">
        <v>0</v>
      </c>
      <c r="AB195" s="131">
        <v>0</v>
      </c>
      <c r="AC195" s="184">
        <v>2999</v>
      </c>
      <c r="AD195" s="183">
        <v>156</v>
      </c>
      <c r="AE195" s="184">
        <v>2000</v>
      </c>
      <c r="AF195" s="184">
        <v>-2723</v>
      </c>
      <c r="AG195" s="183">
        <v>2432</v>
      </c>
      <c r="AH195" s="183">
        <v>55181</v>
      </c>
      <c r="AI195" s="183">
        <v>19643</v>
      </c>
      <c r="AJ195" s="167"/>
      <c r="AK195" s="183">
        <v>-955</v>
      </c>
      <c r="AL195" s="183">
        <v>-21951</v>
      </c>
      <c r="AM195" s="180">
        <v>-25199</v>
      </c>
      <c r="AN195" s="139">
        <v>229152</v>
      </c>
      <c r="AO195" s="138">
        <v>192402</v>
      </c>
      <c r="AP195" s="184">
        <v>20364</v>
      </c>
      <c r="AQ195" s="138">
        <v>16386</v>
      </c>
      <c r="AR195" s="109">
        <v>19.75</v>
      </c>
      <c r="AS195" s="144"/>
      <c r="AT195" s="139">
        <v>25</v>
      </c>
      <c r="AU195" s="228">
        <v>50380</v>
      </c>
      <c r="AV195" s="138"/>
      <c r="AW195" s="224">
        <v>1.0576899769724881</v>
      </c>
      <c r="AX195" s="225">
        <v>61.657629534486077</v>
      </c>
      <c r="AY195" s="139">
        <v>-3722.2111949186183</v>
      </c>
      <c r="AZ195" s="144"/>
      <c r="BA195"/>
      <c r="BC195" s="189">
        <v>38.107684265551491</v>
      </c>
      <c r="BD195" s="183">
        <v>544.025406907503</v>
      </c>
      <c r="BE195" s="140">
        <v>24.073694393508426</v>
      </c>
      <c r="BF195" s="139">
        <v>8248.3922191345773</v>
      </c>
      <c r="BG195" s="184">
        <v>152544</v>
      </c>
      <c r="BH195" s="216">
        <v>71773</v>
      </c>
      <c r="BI195" s="216">
        <v>347488</v>
      </c>
      <c r="BJ195" s="216">
        <v>-274241</v>
      </c>
      <c r="BK195" s="216">
        <v>242953</v>
      </c>
      <c r="BL195" s="216">
        <v>54307</v>
      </c>
      <c r="BM195" s="151"/>
      <c r="BO195" s="216">
        <v>-828</v>
      </c>
      <c r="BP195" s="216">
        <v>3116</v>
      </c>
      <c r="BQ195" s="216">
        <v>25307</v>
      </c>
      <c r="BR195" s="216">
        <v>26567</v>
      </c>
      <c r="BS195" s="216">
        <v>0</v>
      </c>
      <c r="BT195" s="216">
        <v>0</v>
      </c>
      <c r="BU195" s="216">
        <v>-1260</v>
      </c>
      <c r="BV195" s="183">
        <v>410</v>
      </c>
      <c r="BW195" s="184">
        <v>-250</v>
      </c>
      <c r="BX195" s="184">
        <v>3183</v>
      </c>
      <c r="BY195" s="183">
        <v>2083</v>
      </c>
      <c r="BZ195" s="183">
        <v>57264</v>
      </c>
      <c r="CA195" s="183">
        <v>19799</v>
      </c>
      <c r="CB195" s="167"/>
      <c r="CC195" s="183">
        <v>2872</v>
      </c>
      <c r="CD195" s="183">
        <v>-23377</v>
      </c>
      <c r="CE195" s="180">
        <v>-16986</v>
      </c>
      <c r="CF195" s="139">
        <v>242953</v>
      </c>
      <c r="CG195" s="216">
        <v>193588</v>
      </c>
      <c r="CH195" s="216">
        <v>32382</v>
      </c>
      <c r="CI195" s="216">
        <v>16983</v>
      </c>
      <c r="CJ195" s="212">
        <v>19.75</v>
      </c>
      <c r="CK195" s="144"/>
      <c r="CL195" s="130">
        <v>32</v>
      </c>
      <c r="CM195" s="228">
        <v>50619</v>
      </c>
      <c r="CN195" s="138"/>
      <c r="CO195" s="142">
        <v>0.83345538695881427</v>
      </c>
      <c r="CP195" s="142">
        <v>53.875629982532161</v>
      </c>
      <c r="CQ195" s="183">
        <v>-3029.692407989095</v>
      </c>
      <c r="CR195" s="144"/>
      <c r="CS195"/>
      <c r="CU195" s="232">
        <v>43.40893295876117</v>
      </c>
      <c r="CV195" s="143">
        <v>954.14765206740549</v>
      </c>
      <c r="CW195" s="146">
        <v>40.412474410906398</v>
      </c>
      <c r="CX195" s="143">
        <v>8617.7324719966819</v>
      </c>
      <c r="CY195" s="131">
        <v>154039</v>
      </c>
      <c r="CZ195" s="229">
        <v>66025</v>
      </c>
      <c r="DA195" s="229">
        <v>346976</v>
      </c>
      <c r="DB195" s="216">
        <v>-280951</v>
      </c>
      <c r="DC195" s="229">
        <v>257918</v>
      </c>
      <c r="DD195" s="229">
        <v>76473</v>
      </c>
      <c r="DE195" s="151"/>
      <c r="DG195" s="229">
        <v>-579</v>
      </c>
      <c r="DH195" s="229">
        <v>3436</v>
      </c>
      <c r="DI195" s="229">
        <v>56297</v>
      </c>
      <c r="DJ195" s="229">
        <v>28323</v>
      </c>
      <c r="DK195" s="229">
        <v>0</v>
      </c>
      <c r="DL195" s="229">
        <v>759</v>
      </c>
      <c r="DM195" s="229">
        <v>27215</v>
      </c>
      <c r="DN195" s="130">
        <v>-88</v>
      </c>
      <c r="DO195" s="131">
        <v>-488</v>
      </c>
      <c r="DP195" s="131">
        <v>-15035</v>
      </c>
      <c r="DQ195" s="130">
        <v>11604</v>
      </c>
      <c r="DR195" s="130">
        <v>68867</v>
      </c>
      <c r="DS195" s="130">
        <v>50474</v>
      </c>
      <c r="DT195" s="167"/>
      <c r="DU195" s="183">
        <v>-4694</v>
      </c>
      <c r="DV195" s="183">
        <v>-67668</v>
      </c>
      <c r="DW195" s="180">
        <v>34542</v>
      </c>
      <c r="DX195" s="130">
        <v>257918</v>
      </c>
      <c r="DY195" s="229">
        <v>204259</v>
      </c>
      <c r="DZ195" s="229">
        <v>37980</v>
      </c>
      <c r="EA195" s="229">
        <v>15679</v>
      </c>
      <c r="EB195" s="212">
        <v>19.75</v>
      </c>
      <c r="EC195" s="208"/>
      <c r="ED195" s="183">
        <v>15</v>
      </c>
      <c r="EE195" s="3">
        <v>125296</v>
      </c>
      <c r="EF195" s="183">
        <v>136894</v>
      </c>
      <c r="EG195" s="130">
        <v>139263</v>
      </c>
      <c r="EH195" s="130"/>
      <c r="EI195" s="130"/>
      <c r="EJ195" s="130"/>
      <c r="EK195" s="183">
        <v>-53528</v>
      </c>
      <c r="EL195" s="183">
        <v>248</v>
      </c>
      <c r="EM195" s="183">
        <v>8438</v>
      </c>
      <c r="EN195" s="226">
        <v>-45231</v>
      </c>
      <c r="EO195" s="226">
        <v>437</v>
      </c>
      <c r="EP195" s="226">
        <v>8009</v>
      </c>
      <c r="EQ195" s="226">
        <v>-22237</v>
      </c>
      <c r="ER195" s="230">
        <v>448</v>
      </c>
      <c r="ES195" s="230">
        <v>5857</v>
      </c>
      <c r="ET195" s="3">
        <v>40000</v>
      </c>
      <c r="EU195" s="211">
        <v>0</v>
      </c>
      <c r="EV195" s="183">
        <v>32000</v>
      </c>
      <c r="EW195" s="183">
        <v>0</v>
      </c>
      <c r="EX195" s="130">
        <v>51275</v>
      </c>
      <c r="EY195" s="183">
        <v>0</v>
      </c>
      <c r="EZ195" s="3">
        <v>163048</v>
      </c>
      <c r="FA195" s="3">
        <v>140422</v>
      </c>
      <c r="FB195" s="3">
        <v>22626</v>
      </c>
      <c r="FC195" s="3">
        <v>3005</v>
      </c>
      <c r="FD195" s="226">
        <v>171672</v>
      </c>
      <c r="FE195" s="183">
        <v>150144</v>
      </c>
      <c r="FF195" s="183">
        <v>21528</v>
      </c>
      <c r="FG195" s="183">
        <v>2683</v>
      </c>
      <c r="FH195" s="230">
        <v>155280</v>
      </c>
      <c r="FI195" s="130">
        <v>140326</v>
      </c>
      <c r="FJ195" s="130">
        <v>14954</v>
      </c>
      <c r="FK195" s="130">
        <v>2645</v>
      </c>
      <c r="FL195" s="29">
        <v>7201.6433886435079</v>
      </c>
      <c r="FM195" s="139">
        <v>7377.8682016673283</v>
      </c>
      <c r="FN195" s="139">
        <v>6879.3140915466529</v>
      </c>
      <c r="FO195" s="172">
        <f t="shared" ref="FO195:FO258" si="9">(DY195/EB195)</f>
        <v>10342.227848101265</v>
      </c>
      <c r="FP195" s="170">
        <f t="shared" ref="FP195:FP258" si="10">(FO195/CM195)*1000</f>
        <v>204.31513558350156</v>
      </c>
      <c r="FR195" s="175"/>
      <c r="FS195" s="195"/>
      <c r="FV195" s="175">
        <v>25479</v>
      </c>
      <c r="FW195" s="2">
        <f t="shared" ref="FW195:FW258" si="11">FV195*-1</f>
        <v>-25479</v>
      </c>
      <c r="FZ195" s="186"/>
      <c r="GA195" s="2"/>
      <c r="GB195" s="2"/>
    </row>
    <row r="196" spans="1:184" ht="13" x14ac:dyDescent="0.3">
      <c r="A196" s="77">
        <v>614</v>
      </c>
      <c r="B196" s="75" t="s">
        <v>187</v>
      </c>
      <c r="C196" s="179">
        <v>3237</v>
      </c>
      <c r="D196" s="138"/>
      <c r="E196" s="142">
        <v>1.5058309037900874</v>
      </c>
      <c r="F196" s="142">
        <v>48.702736208270608</v>
      </c>
      <c r="G196" s="183">
        <v>-1333.9511893728761</v>
      </c>
      <c r="H196" s="144"/>
      <c r="I196" s="186"/>
      <c r="K196" s="210">
        <v>58.386235388956067</v>
      </c>
      <c r="L196" s="143">
        <v>2890.3305529811555</v>
      </c>
      <c r="M196" s="146">
        <v>100.19775834751482</v>
      </c>
      <c r="N196" s="143">
        <v>10528.884769848626</v>
      </c>
      <c r="O196" s="138">
        <v>9054</v>
      </c>
      <c r="P196" s="143">
        <v>7562</v>
      </c>
      <c r="Q196" s="184">
        <v>31811</v>
      </c>
      <c r="R196" s="184">
        <v>-24249</v>
      </c>
      <c r="S196" s="139">
        <v>9401</v>
      </c>
      <c r="T196" s="138">
        <v>16916</v>
      </c>
      <c r="U196" s="151"/>
      <c r="W196" s="183">
        <v>-142</v>
      </c>
      <c r="X196" s="183">
        <v>-16</v>
      </c>
      <c r="Y196" s="184">
        <v>1910</v>
      </c>
      <c r="Z196" s="130">
        <v>1113</v>
      </c>
      <c r="AA196" s="130">
        <v>0</v>
      </c>
      <c r="AB196" s="130">
        <v>0</v>
      </c>
      <c r="AC196" s="184">
        <v>797</v>
      </c>
      <c r="AD196" s="183">
        <v>138</v>
      </c>
      <c r="AE196" s="183">
        <v>0</v>
      </c>
      <c r="AF196" s="183">
        <v>0</v>
      </c>
      <c r="AG196" s="183">
        <v>935</v>
      </c>
      <c r="AH196" s="183">
        <v>4206</v>
      </c>
      <c r="AI196" s="183">
        <v>1909</v>
      </c>
      <c r="AJ196" s="167"/>
      <c r="AK196" s="183">
        <v>-125</v>
      </c>
      <c r="AL196" s="183">
        <v>-1216</v>
      </c>
      <c r="AM196" s="180">
        <v>1179</v>
      </c>
      <c r="AN196" s="139">
        <v>9401</v>
      </c>
      <c r="AO196" s="138">
        <v>7511</v>
      </c>
      <c r="AP196" s="184">
        <v>660</v>
      </c>
      <c r="AQ196" s="138">
        <v>1230</v>
      </c>
      <c r="AR196" s="109">
        <v>21.75</v>
      </c>
      <c r="AS196" s="144"/>
      <c r="AT196" s="139">
        <v>23</v>
      </c>
      <c r="AU196" s="228">
        <v>3183</v>
      </c>
      <c r="AV196" s="138"/>
      <c r="AW196" s="224">
        <v>0.86272273699215962</v>
      </c>
      <c r="AX196" s="225">
        <v>41.652882969153538</v>
      </c>
      <c r="AY196" s="139">
        <v>-1264.2161482877789</v>
      </c>
      <c r="AZ196" s="144"/>
      <c r="BA196"/>
      <c r="BC196" s="189">
        <v>61.967508070064028</v>
      </c>
      <c r="BD196" s="183">
        <v>2206.0948790449261</v>
      </c>
      <c r="BE196" s="140">
        <v>73.185517261071922</v>
      </c>
      <c r="BF196" s="139">
        <v>11002.513352183474</v>
      </c>
      <c r="BG196" s="184">
        <v>9359</v>
      </c>
      <c r="BH196" s="216">
        <v>7620</v>
      </c>
      <c r="BI196" s="216">
        <v>33056</v>
      </c>
      <c r="BJ196" s="216">
        <v>-25436</v>
      </c>
      <c r="BK196" s="216">
        <v>9977</v>
      </c>
      <c r="BL196" s="216">
        <v>16864</v>
      </c>
      <c r="BM196" s="151"/>
      <c r="BO196" s="216">
        <v>-150</v>
      </c>
      <c r="BP196" s="216">
        <v>99</v>
      </c>
      <c r="BQ196" s="216">
        <v>1354</v>
      </c>
      <c r="BR196" s="216">
        <v>1111</v>
      </c>
      <c r="BS196" s="216">
        <v>0</v>
      </c>
      <c r="BT196" s="216">
        <v>0</v>
      </c>
      <c r="BU196" s="216">
        <v>243</v>
      </c>
      <c r="BV196" s="183">
        <v>162</v>
      </c>
      <c r="BW196" s="183">
        <v>0</v>
      </c>
      <c r="BX196" s="183">
        <v>0</v>
      </c>
      <c r="BY196" s="183">
        <v>405</v>
      </c>
      <c r="BZ196" s="183">
        <v>4611</v>
      </c>
      <c r="CA196" s="183">
        <v>1349</v>
      </c>
      <c r="CB196" s="167"/>
      <c r="CC196" s="183">
        <v>-481</v>
      </c>
      <c r="CD196" s="183">
        <v>-735</v>
      </c>
      <c r="CE196" s="180">
        <v>366</v>
      </c>
      <c r="CF196" s="139">
        <v>9977</v>
      </c>
      <c r="CG196" s="216">
        <v>8013</v>
      </c>
      <c r="CH196" s="216">
        <v>714</v>
      </c>
      <c r="CI196" s="216">
        <v>1250</v>
      </c>
      <c r="CJ196" s="212">
        <v>21.75</v>
      </c>
      <c r="CK196" s="144"/>
      <c r="CL196" s="130">
        <v>52</v>
      </c>
      <c r="CM196" s="228">
        <v>3117</v>
      </c>
      <c r="CN196" s="138"/>
      <c r="CO196" s="142">
        <v>1.9665924276169264</v>
      </c>
      <c r="CP196" s="142">
        <v>38.634821933295648</v>
      </c>
      <c r="CQ196" s="183">
        <v>-979.78825794032718</v>
      </c>
      <c r="CR196" s="144"/>
      <c r="CS196"/>
      <c r="CU196" s="232">
        <v>63.687491709775834</v>
      </c>
      <c r="CV196" s="143">
        <v>2087.9050368944499</v>
      </c>
      <c r="CW196" s="146">
        <v>66.187968458301981</v>
      </c>
      <c r="CX196" s="143">
        <v>11513.95572666025</v>
      </c>
      <c r="CY196" s="131">
        <v>9003</v>
      </c>
      <c r="CZ196" s="229">
        <v>7135</v>
      </c>
      <c r="DA196" s="229">
        <v>33794</v>
      </c>
      <c r="DB196" s="216">
        <v>-26659</v>
      </c>
      <c r="DC196" s="229">
        <v>10214</v>
      </c>
      <c r="DD196" s="229">
        <v>18031</v>
      </c>
      <c r="DE196" s="151"/>
      <c r="DG196" s="229">
        <v>-105</v>
      </c>
      <c r="DH196" s="229">
        <v>169</v>
      </c>
      <c r="DI196" s="229">
        <v>1650</v>
      </c>
      <c r="DJ196" s="229">
        <v>1198</v>
      </c>
      <c r="DK196" s="229">
        <v>92</v>
      </c>
      <c r="DL196" s="229">
        <v>0</v>
      </c>
      <c r="DM196" s="229">
        <v>544</v>
      </c>
      <c r="DN196" s="130">
        <v>134</v>
      </c>
      <c r="DO196" s="130">
        <v>0</v>
      </c>
      <c r="DP196" s="130">
        <v>0</v>
      </c>
      <c r="DQ196" s="130">
        <v>678</v>
      </c>
      <c r="DR196" s="130">
        <v>5332</v>
      </c>
      <c r="DS196" s="130">
        <v>1742</v>
      </c>
      <c r="DT196" s="167"/>
      <c r="DU196" s="183">
        <v>-799</v>
      </c>
      <c r="DV196" s="183">
        <v>-782</v>
      </c>
      <c r="DW196" s="180">
        <v>727</v>
      </c>
      <c r="DX196" s="130">
        <v>10214</v>
      </c>
      <c r="DY196" s="229">
        <v>8303</v>
      </c>
      <c r="DZ196" s="229">
        <v>766</v>
      </c>
      <c r="EA196" s="229">
        <v>1145</v>
      </c>
      <c r="EB196" s="212">
        <v>21.75</v>
      </c>
      <c r="EC196" s="208"/>
      <c r="ED196" s="183">
        <v>214.191176470588</v>
      </c>
      <c r="EE196" s="3">
        <v>20072</v>
      </c>
      <c r="EF196" s="183">
        <v>20888</v>
      </c>
      <c r="EG196" s="130">
        <v>21945</v>
      </c>
      <c r="EH196" s="130"/>
      <c r="EI196" s="130"/>
      <c r="EJ196" s="130"/>
      <c r="EK196" s="183">
        <v>-756</v>
      </c>
      <c r="EL196" s="183">
        <v>0</v>
      </c>
      <c r="EM196" s="183">
        <v>26</v>
      </c>
      <c r="EN196" s="226">
        <v>-1018</v>
      </c>
      <c r="EO196" s="226">
        <v>30</v>
      </c>
      <c r="EP196" s="226">
        <v>5</v>
      </c>
      <c r="EQ196" s="226">
        <v>-1159</v>
      </c>
      <c r="ER196" s="230">
        <v>138</v>
      </c>
      <c r="ES196" s="230">
        <v>6</v>
      </c>
      <c r="ET196" s="3">
        <v>0</v>
      </c>
      <c r="EU196" s="211">
        <v>0</v>
      </c>
      <c r="EV196" s="183">
        <v>0</v>
      </c>
      <c r="EW196" s="183">
        <v>0</v>
      </c>
      <c r="EX196" s="130">
        <v>1</v>
      </c>
      <c r="EY196" s="183">
        <v>0</v>
      </c>
      <c r="EZ196" s="3">
        <v>11887</v>
      </c>
      <c r="FA196" s="3">
        <v>11095</v>
      </c>
      <c r="FB196" s="3">
        <v>792</v>
      </c>
      <c r="FC196" s="3">
        <v>367</v>
      </c>
      <c r="FD196" s="226">
        <v>11152</v>
      </c>
      <c r="FE196" s="183">
        <v>10368</v>
      </c>
      <c r="FF196" s="183">
        <v>784</v>
      </c>
      <c r="FG196" s="183">
        <v>367</v>
      </c>
      <c r="FH196" s="230">
        <v>10370</v>
      </c>
      <c r="FI196" s="130">
        <v>9586</v>
      </c>
      <c r="FJ196" s="130">
        <v>784</v>
      </c>
      <c r="FK196" s="130">
        <v>367</v>
      </c>
      <c r="FL196" s="29">
        <v>5191.2264442384921</v>
      </c>
      <c r="FM196" s="139">
        <v>5137.6060320452398</v>
      </c>
      <c r="FN196" s="139">
        <v>5305.1010587102983</v>
      </c>
      <c r="FO196" s="172">
        <f t="shared" si="9"/>
        <v>381.74712643678163</v>
      </c>
      <c r="FP196" s="170">
        <f t="shared" si="10"/>
        <v>122.47261034224627</v>
      </c>
      <c r="FR196" s="175"/>
      <c r="FS196" s="195"/>
      <c r="FV196" s="175">
        <v>1302</v>
      </c>
      <c r="FW196" s="2">
        <f t="shared" si="11"/>
        <v>-1302</v>
      </c>
      <c r="FZ196" s="186"/>
      <c r="GA196" s="2"/>
      <c r="GB196" s="2"/>
    </row>
    <row r="197" spans="1:184" ht="13" x14ac:dyDescent="0.3">
      <c r="A197" s="77">
        <v>615</v>
      </c>
      <c r="B197" s="75" t="s">
        <v>188</v>
      </c>
      <c r="C197" s="179">
        <v>7990</v>
      </c>
      <c r="D197" s="138"/>
      <c r="E197" s="142">
        <v>-0.28792341678939615</v>
      </c>
      <c r="F197" s="142">
        <v>50.127106813806883</v>
      </c>
      <c r="G197" s="183">
        <v>-1789.8623279098872</v>
      </c>
      <c r="H197" s="144"/>
      <c r="I197" s="186"/>
      <c r="K197" s="210">
        <v>61.721985972275917</v>
      </c>
      <c r="L197" s="143">
        <v>1691.4893617021276</v>
      </c>
      <c r="M197" s="146">
        <v>63.258678396019548</v>
      </c>
      <c r="N197" s="143">
        <v>9759.8247809762215</v>
      </c>
      <c r="O197" s="138">
        <v>16317</v>
      </c>
      <c r="P197" s="143">
        <v>9949</v>
      </c>
      <c r="Q197" s="184">
        <v>69517</v>
      </c>
      <c r="R197" s="184">
        <v>-59568</v>
      </c>
      <c r="S197" s="139">
        <v>22246</v>
      </c>
      <c r="T197" s="138">
        <v>35877</v>
      </c>
      <c r="U197" s="151"/>
      <c r="W197" s="183">
        <v>-47</v>
      </c>
      <c r="X197" s="183">
        <v>502</v>
      </c>
      <c r="Y197" s="184">
        <v>-990</v>
      </c>
      <c r="Z197" s="130">
        <v>3675</v>
      </c>
      <c r="AA197" s="130">
        <v>0</v>
      </c>
      <c r="AB197" s="130">
        <v>0</v>
      </c>
      <c r="AC197" s="184">
        <v>-4665</v>
      </c>
      <c r="AD197" s="184">
        <v>103</v>
      </c>
      <c r="AE197" s="184">
        <v>0</v>
      </c>
      <c r="AF197" s="183">
        <v>442</v>
      </c>
      <c r="AG197" s="183">
        <v>-4120</v>
      </c>
      <c r="AH197" s="183">
        <v>6099</v>
      </c>
      <c r="AI197" s="183">
        <v>-942</v>
      </c>
      <c r="AJ197" s="167"/>
      <c r="AK197" s="183">
        <v>13</v>
      </c>
      <c r="AL197" s="183">
        <v>-2508</v>
      </c>
      <c r="AM197" s="180">
        <v>-5277</v>
      </c>
      <c r="AN197" s="139">
        <v>22246</v>
      </c>
      <c r="AO197" s="138">
        <v>17561</v>
      </c>
      <c r="AP197" s="184">
        <v>2619</v>
      </c>
      <c r="AQ197" s="138">
        <v>2066</v>
      </c>
      <c r="AR197" s="109">
        <v>20.5</v>
      </c>
      <c r="AS197" s="144"/>
      <c r="AT197" s="139">
        <v>280</v>
      </c>
      <c r="AU197" s="228">
        <v>7873</v>
      </c>
      <c r="AV197" s="138"/>
      <c r="AW197" s="224">
        <v>-3.7805463597078669E-2</v>
      </c>
      <c r="AX197" s="225">
        <v>61.142650776453593</v>
      </c>
      <c r="AY197" s="139">
        <v>-3026.6734408738726</v>
      </c>
      <c r="AZ197" s="144"/>
      <c r="BA197"/>
      <c r="BC197" s="189">
        <v>54.407798776456758</v>
      </c>
      <c r="BD197" s="183">
        <v>1650.5779245522672</v>
      </c>
      <c r="BE197" s="140">
        <v>55.902024797284554</v>
      </c>
      <c r="BF197" s="139">
        <v>10777.086244125492</v>
      </c>
      <c r="BG197" s="184">
        <v>16113</v>
      </c>
      <c r="BH197" s="216">
        <v>9876</v>
      </c>
      <c r="BI197" s="216">
        <v>70437</v>
      </c>
      <c r="BJ197" s="216">
        <v>-60524</v>
      </c>
      <c r="BK197" s="216">
        <v>22906</v>
      </c>
      <c r="BL197" s="216">
        <v>36443</v>
      </c>
      <c r="BM197" s="151"/>
      <c r="BO197" s="216">
        <v>102</v>
      </c>
      <c r="BP197" s="216">
        <v>689</v>
      </c>
      <c r="BQ197" s="216">
        <v>-384</v>
      </c>
      <c r="BR197" s="216">
        <v>3646</v>
      </c>
      <c r="BS197" s="216">
        <v>0</v>
      </c>
      <c r="BT197" s="216">
        <v>0</v>
      </c>
      <c r="BU197" s="216">
        <v>-4030</v>
      </c>
      <c r="BV197" s="184">
        <v>103</v>
      </c>
      <c r="BW197" s="184">
        <v>0</v>
      </c>
      <c r="BX197" s="183">
        <v>388</v>
      </c>
      <c r="BY197" s="183">
        <v>-3539</v>
      </c>
      <c r="BZ197" s="183">
        <v>2559</v>
      </c>
      <c r="CA197" s="183">
        <v>188</v>
      </c>
      <c r="CB197" s="167"/>
      <c r="CC197" s="183">
        <v>795</v>
      </c>
      <c r="CD197" s="183">
        <v>-2908</v>
      </c>
      <c r="CE197" s="180">
        <v>-9533</v>
      </c>
      <c r="CF197" s="139">
        <v>22906</v>
      </c>
      <c r="CG197" s="216">
        <v>18293</v>
      </c>
      <c r="CH197" s="216">
        <v>2581</v>
      </c>
      <c r="CI197" s="216">
        <v>2032</v>
      </c>
      <c r="CJ197" s="212">
        <v>20.5</v>
      </c>
      <c r="CK197" s="144"/>
      <c r="CL197" s="130">
        <v>245</v>
      </c>
      <c r="CM197" s="228">
        <v>7779</v>
      </c>
      <c r="CN197" s="138"/>
      <c r="CO197" s="142">
        <v>1.1230301354713852</v>
      </c>
      <c r="CP197" s="142">
        <v>59.472990068096792</v>
      </c>
      <c r="CQ197" s="183">
        <v>-3559.8405964776962</v>
      </c>
      <c r="CR197" s="144"/>
      <c r="CS197"/>
      <c r="CU197" s="232">
        <v>53.718862684958758</v>
      </c>
      <c r="CV197" s="143">
        <v>1569.6104897801774</v>
      </c>
      <c r="CW197" s="146">
        <v>54.162463692378743</v>
      </c>
      <c r="CX197" s="143">
        <v>10577.580665895359</v>
      </c>
      <c r="CY197" s="131">
        <v>15929</v>
      </c>
      <c r="CZ197" s="229">
        <v>10697</v>
      </c>
      <c r="DA197" s="229">
        <v>70745</v>
      </c>
      <c r="DB197" s="216">
        <v>-60048</v>
      </c>
      <c r="DC197" s="229">
        <v>23253</v>
      </c>
      <c r="DD197" s="229">
        <v>40466</v>
      </c>
      <c r="DE197" s="151"/>
      <c r="DG197" s="229">
        <v>-152</v>
      </c>
      <c r="DH197" s="229">
        <v>355</v>
      </c>
      <c r="DI197" s="229">
        <v>3874</v>
      </c>
      <c r="DJ197" s="229">
        <v>3688</v>
      </c>
      <c r="DK197" s="229">
        <v>0</v>
      </c>
      <c r="DL197" s="229">
        <v>0</v>
      </c>
      <c r="DM197" s="229">
        <v>186</v>
      </c>
      <c r="DN197" s="131">
        <v>103</v>
      </c>
      <c r="DO197" s="131">
        <v>0</v>
      </c>
      <c r="DP197" s="130">
        <v>382</v>
      </c>
      <c r="DQ197" s="130">
        <v>671</v>
      </c>
      <c r="DR197" s="130">
        <v>3038</v>
      </c>
      <c r="DS197" s="130">
        <v>2927</v>
      </c>
      <c r="DT197" s="167"/>
      <c r="DU197" s="183">
        <v>1211</v>
      </c>
      <c r="DV197" s="183">
        <v>-3429</v>
      </c>
      <c r="DW197" s="180">
        <v>-3606</v>
      </c>
      <c r="DX197" s="130">
        <v>23253</v>
      </c>
      <c r="DY197" s="229">
        <v>18230</v>
      </c>
      <c r="DZ197" s="229">
        <v>2935</v>
      </c>
      <c r="EA197" s="229">
        <v>2088</v>
      </c>
      <c r="EB197" s="212">
        <v>20.5</v>
      </c>
      <c r="EC197" s="208"/>
      <c r="ED197" s="183">
        <v>229.30147058823499</v>
      </c>
      <c r="EE197" s="3">
        <v>46531</v>
      </c>
      <c r="EF197" s="183">
        <v>47322</v>
      </c>
      <c r="EG197" s="130">
        <v>47327</v>
      </c>
      <c r="EH197" s="130"/>
      <c r="EI197" s="130"/>
      <c r="EJ197" s="130">
        <v>950</v>
      </c>
      <c r="EK197" s="183">
        <v>-5730</v>
      </c>
      <c r="EL197" s="183">
        <v>268</v>
      </c>
      <c r="EM197" s="183">
        <v>1127</v>
      </c>
      <c r="EN197" s="226">
        <v>-11114</v>
      </c>
      <c r="EO197" s="226">
        <v>1154</v>
      </c>
      <c r="EP197" s="226">
        <v>239</v>
      </c>
      <c r="EQ197" s="226">
        <v>-7325</v>
      </c>
      <c r="ER197" s="230">
        <v>432</v>
      </c>
      <c r="ES197" s="230">
        <v>360</v>
      </c>
      <c r="ET197" s="3">
        <v>4500</v>
      </c>
      <c r="EU197" s="211">
        <v>1481</v>
      </c>
      <c r="EV197" s="183">
        <v>6000</v>
      </c>
      <c r="EW197" s="183">
        <v>3764</v>
      </c>
      <c r="EX197" s="130">
        <v>9420</v>
      </c>
      <c r="EY197" s="183">
        <v>-1659</v>
      </c>
      <c r="EZ197" s="3">
        <v>25420</v>
      </c>
      <c r="FA197" s="3">
        <v>17184</v>
      </c>
      <c r="FB197" s="3">
        <v>8236</v>
      </c>
      <c r="FC197" s="3">
        <v>0</v>
      </c>
      <c r="FD197" s="226">
        <v>32275</v>
      </c>
      <c r="FE197" s="183">
        <v>19675</v>
      </c>
      <c r="FF197" s="183">
        <v>12600</v>
      </c>
      <c r="FG197" s="183">
        <v>0</v>
      </c>
      <c r="FH197" s="230">
        <v>36608</v>
      </c>
      <c r="FI197" s="130">
        <v>24724</v>
      </c>
      <c r="FJ197" s="130">
        <v>11884</v>
      </c>
      <c r="FK197" s="130">
        <v>0</v>
      </c>
      <c r="FL197" s="29">
        <v>6628.6608260325411</v>
      </c>
      <c r="FM197" s="139">
        <v>7814.5560777340279</v>
      </c>
      <c r="FN197" s="139">
        <v>9671.6801645455726</v>
      </c>
      <c r="FO197" s="172">
        <f t="shared" si="9"/>
        <v>889.26829268292681</v>
      </c>
      <c r="FP197" s="170">
        <f t="shared" si="10"/>
        <v>114.31653074725888</v>
      </c>
      <c r="FR197" s="175"/>
      <c r="FS197" s="195"/>
      <c r="FV197" s="175">
        <v>2845</v>
      </c>
      <c r="FW197" s="2">
        <f t="shared" si="11"/>
        <v>-2845</v>
      </c>
      <c r="FZ197" s="186"/>
      <c r="GA197" s="2"/>
      <c r="GB197" s="2"/>
    </row>
    <row r="198" spans="1:184" ht="13" x14ac:dyDescent="0.3">
      <c r="A198" s="77">
        <v>616</v>
      </c>
      <c r="B198" s="75" t="s">
        <v>189</v>
      </c>
      <c r="C198" s="179">
        <v>1899</v>
      </c>
      <c r="D198" s="138"/>
      <c r="E198" s="142">
        <v>-0.46757075471698112</v>
      </c>
      <c r="F198" s="142">
        <v>64.78733926805144</v>
      </c>
      <c r="G198" s="183">
        <v>-2648.7625065824118</v>
      </c>
      <c r="H198" s="144"/>
      <c r="I198" s="186"/>
      <c r="K198" s="210">
        <v>48.976701366758725</v>
      </c>
      <c r="L198" s="143">
        <v>989.99473407056348</v>
      </c>
      <c r="M198" s="146">
        <v>48.843334045127762</v>
      </c>
      <c r="N198" s="143">
        <v>7398.1042654028433</v>
      </c>
      <c r="O198" s="138">
        <v>2507</v>
      </c>
      <c r="P198" s="143">
        <v>1247</v>
      </c>
      <c r="Q198" s="184">
        <v>12096</v>
      </c>
      <c r="R198" s="184">
        <v>-10849</v>
      </c>
      <c r="S198" s="139">
        <v>6501</v>
      </c>
      <c r="T198" s="138">
        <v>3373</v>
      </c>
      <c r="U198" s="151"/>
      <c r="W198" s="183">
        <v>-17</v>
      </c>
      <c r="X198" s="183">
        <v>149</v>
      </c>
      <c r="Y198" s="184">
        <v>-843</v>
      </c>
      <c r="Z198" s="130">
        <v>340</v>
      </c>
      <c r="AA198" s="131">
        <v>0</v>
      </c>
      <c r="AB198" s="131">
        <v>73</v>
      </c>
      <c r="AC198" s="184">
        <v>-1256</v>
      </c>
      <c r="AD198" s="184">
        <v>0</v>
      </c>
      <c r="AE198" s="183">
        <v>0</v>
      </c>
      <c r="AF198" s="184">
        <v>0</v>
      </c>
      <c r="AG198" s="183">
        <v>-1256</v>
      </c>
      <c r="AH198" s="183">
        <v>2368</v>
      </c>
      <c r="AI198" s="183">
        <v>-760</v>
      </c>
      <c r="AJ198" s="167"/>
      <c r="AK198" s="183">
        <v>463</v>
      </c>
      <c r="AL198" s="183">
        <v>-1646</v>
      </c>
      <c r="AM198" s="180">
        <v>-722</v>
      </c>
      <c r="AN198" s="139">
        <v>6501</v>
      </c>
      <c r="AO198" s="138">
        <v>5803</v>
      </c>
      <c r="AP198" s="184">
        <v>291</v>
      </c>
      <c r="AQ198" s="138">
        <v>407</v>
      </c>
      <c r="AR198" s="109">
        <v>21.5</v>
      </c>
      <c r="AS198" s="144"/>
      <c r="AT198" s="139">
        <v>293</v>
      </c>
      <c r="AU198" s="228">
        <v>1860</v>
      </c>
      <c r="AV198" s="138"/>
      <c r="AW198" s="224">
        <v>-0.8055235903337169</v>
      </c>
      <c r="AX198" s="225">
        <v>60.839282604910323</v>
      </c>
      <c r="AY198" s="139">
        <v>-3110.2150537634407</v>
      </c>
      <c r="AZ198" s="144"/>
      <c r="BA198"/>
      <c r="BC198" s="189">
        <v>45.444609259114685</v>
      </c>
      <c r="BD198" s="183">
        <v>576.34408602150529</v>
      </c>
      <c r="BE198" s="140">
        <v>30.317681698434836</v>
      </c>
      <c r="BF198" s="139">
        <v>6938.7096774193551</v>
      </c>
      <c r="BG198" s="184">
        <v>2722</v>
      </c>
      <c r="BH198" s="216">
        <v>1303</v>
      </c>
      <c r="BI198" s="216">
        <v>12367</v>
      </c>
      <c r="BJ198" s="216">
        <v>-11064</v>
      </c>
      <c r="BK198" s="216">
        <v>6761</v>
      </c>
      <c r="BL198" s="216">
        <v>3422</v>
      </c>
      <c r="BM198" s="151"/>
      <c r="BO198" s="216">
        <v>-15</v>
      </c>
      <c r="BP198" s="216">
        <v>149</v>
      </c>
      <c r="BQ198" s="216">
        <v>-747</v>
      </c>
      <c r="BR198" s="216">
        <v>348</v>
      </c>
      <c r="BS198" s="216">
        <v>0</v>
      </c>
      <c r="BT198" s="216">
        <v>0</v>
      </c>
      <c r="BU198" s="216">
        <v>-1095</v>
      </c>
      <c r="BV198" s="184">
        <v>0</v>
      </c>
      <c r="BW198" s="183">
        <v>0</v>
      </c>
      <c r="BX198" s="184">
        <v>0</v>
      </c>
      <c r="BY198" s="183">
        <v>-1095</v>
      </c>
      <c r="BZ198" s="183">
        <v>1273</v>
      </c>
      <c r="CA198" s="183">
        <v>-742</v>
      </c>
      <c r="CB198" s="167"/>
      <c r="CC198" s="183">
        <v>162</v>
      </c>
      <c r="CD198" s="183">
        <v>-326</v>
      </c>
      <c r="CE198" s="180">
        <v>-737</v>
      </c>
      <c r="CF198" s="139">
        <v>6761</v>
      </c>
      <c r="CG198" s="216">
        <v>6043</v>
      </c>
      <c r="CH198" s="216">
        <v>272</v>
      </c>
      <c r="CI198" s="216">
        <v>446</v>
      </c>
      <c r="CJ198" s="212">
        <v>21.5</v>
      </c>
      <c r="CK198" s="144"/>
      <c r="CL198" s="130">
        <v>285</v>
      </c>
      <c r="CM198" s="228">
        <v>1833</v>
      </c>
      <c r="CN198" s="138"/>
      <c r="CO198" s="142">
        <v>16.813953488372093</v>
      </c>
      <c r="CP198" s="142">
        <v>51.548936847973245</v>
      </c>
      <c r="CQ198" s="183">
        <v>-2776.8685215493724</v>
      </c>
      <c r="CR198" s="144"/>
      <c r="CS198"/>
      <c r="CU198" s="232">
        <v>47.750487329434698</v>
      </c>
      <c r="CV198" s="143">
        <v>513.36606655755588</v>
      </c>
      <c r="CW198" s="146">
        <v>27.837980223699141</v>
      </c>
      <c r="CX198" s="143">
        <v>6731.0420076377522</v>
      </c>
      <c r="CY198" s="131">
        <v>2617</v>
      </c>
      <c r="CZ198" s="229">
        <v>1197</v>
      </c>
      <c r="DA198" s="229">
        <v>12024</v>
      </c>
      <c r="DB198" s="216">
        <v>-10827</v>
      </c>
      <c r="DC198" s="229">
        <v>6997</v>
      </c>
      <c r="DD198" s="229">
        <v>4363</v>
      </c>
      <c r="DE198" s="151"/>
      <c r="DG198" s="229">
        <v>-10</v>
      </c>
      <c r="DH198" s="229">
        <v>157</v>
      </c>
      <c r="DI198" s="229">
        <v>680</v>
      </c>
      <c r="DJ198" s="229">
        <v>377</v>
      </c>
      <c r="DK198" s="229">
        <v>0</v>
      </c>
      <c r="DL198" s="229">
        <v>0</v>
      </c>
      <c r="DM198" s="229">
        <v>303</v>
      </c>
      <c r="DN198" s="131">
        <v>0</v>
      </c>
      <c r="DO198" s="130">
        <v>0</v>
      </c>
      <c r="DP198" s="131">
        <v>0</v>
      </c>
      <c r="DQ198" s="130">
        <v>303</v>
      </c>
      <c r="DR198" s="130">
        <v>1576</v>
      </c>
      <c r="DS198" s="130">
        <v>675</v>
      </c>
      <c r="DT198" s="167"/>
      <c r="DU198" s="183">
        <v>-310</v>
      </c>
      <c r="DV198" s="183">
        <v>0</v>
      </c>
      <c r="DW198" s="180">
        <v>563</v>
      </c>
      <c r="DX198" s="130">
        <v>6997</v>
      </c>
      <c r="DY198" s="229">
        <v>6303</v>
      </c>
      <c r="DZ198" s="229">
        <v>298</v>
      </c>
      <c r="EA198" s="229">
        <v>396</v>
      </c>
      <c r="EB198" s="212">
        <v>21.5</v>
      </c>
      <c r="EC198" s="208"/>
      <c r="ED198" s="183">
        <v>264.55882352941097</v>
      </c>
      <c r="EE198" s="3">
        <v>8839</v>
      </c>
      <c r="EF198" s="183">
        <v>8820</v>
      </c>
      <c r="EG198" s="130">
        <v>8777</v>
      </c>
      <c r="EH198" s="130"/>
      <c r="EI198" s="130"/>
      <c r="EJ198" s="130"/>
      <c r="EK198" s="183">
        <v>-257</v>
      </c>
      <c r="EL198" s="183">
        <v>0</v>
      </c>
      <c r="EM198" s="183">
        <v>295</v>
      </c>
      <c r="EN198" s="226">
        <v>-165</v>
      </c>
      <c r="EO198" s="226">
        <v>0</v>
      </c>
      <c r="EP198" s="226">
        <v>170</v>
      </c>
      <c r="EQ198" s="226">
        <v>-270</v>
      </c>
      <c r="ER198" s="230">
        <v>117</v>
      </c>
      <c r="ES198" s="230">
        <v>41</v>
      </c>
      <c r="ET198" s="3">
        <v>0</v>
      </c>
      <c r="EU198" s="211">
        <v>1450</v>
      </c>
      <c r="EV198" s="183">
        <v>2090</v>
      </c>
      <c r="EW198" s="183">
        <v>-1200</v>
      </c>
      <c r="EX198" s="130">
        <v>1500</v>
      </c>
      <c r="EY198" s="183">
        <v>-1346</v>
      </c>
      <c r="EZ198" s="3">
        <v>5097</v>
      </c>
      <c r="FA198" s="3">
        <v>2771</v>
      </c>
      <c r="FB198" s="3">
        <v>2326</v>
      </c>
      <c r="FC198" s="3">
        <v>500</v>
      </c>
      <c r="FD198" s="226">
        <v>5661</v>
      </c>
      <c r="FE198" s="183">
        <v>4315</v>
      </c>
      <c r="FF198" s="183">
        <v>1346</v>
      </c>
      <c r="FG198" s="183">
        <v>500</v>
      </c>
      <c r="FH198" s="230">
        <v>5816</v>
      </c>
      <c r="FI198" s="130">
        <v>5120</v>
      </c>
      <c r="FJ198" s="130">
        <v>696</v>
      </c>
      <c r="FK198" s="130">
        <v>500</v>
      </c>
      <c r="FL198" s="29">
        <v>2920.4844655081624</v>
      </c>
      <c r="FM198" s="139">
        <v>3268.2795698924729</v>
      </c>
      <c r="FN198" s="139">
        <v>3506.2738679759959</v>
      </c>
      <c r="FO198" s="172">
        <f t="shared" si="9"/>
        <v>293.16279069767444</v>
      </c>
      <c r="FP198" s="170">
        <f t="shared" si="10"/>
        <v>159.93605602710008</v>
      </c>
      <c r="FR198" s="175"/>
      <c r="FS198" s="195"/>
      <c r="FV198" s="175">
        <v>480</v>
      </c>
      <c r="FW198" s="2">
        <f t="shared" si="11"/>
        <v>-480</v>
      </c>
      <c r="FZ198" s="186"/>
      <c r="GA198" s="2"/>
      <c r="GB198" s="2"/>
    </row>
    <row r="199" spans="1:184" ht="13" x14ac:dyDescent="0.3">
      <c r="A199" s="77">
        <v>619</v>
      </c>
      <c r="B199" s="75" t="s">
        <v>190</v>
      </c>
      <c r="C199" s="179">
        <v>2896</v>
      </c>
      <c r="D199" s="138"/>
      <c r="E199" s="142">
        <v>5.0780487804878049</v>
      </c>
      <c r="F199" s="142">
        <v>25.007994883274705</v>
      </c>
      <c r="G199" s="183">
        <v>-882.94198895027625</v>
      </c>
      <c r="H199" s="144"/>
      <c r="I199" s="186"/>
      <c r="K199" s="210">
        <v>71.543637846655798</v>
      </c>
      <c r="L199" s="143">
        <v>742.74861878453032</v>
      </c>
      <c r="M199" s="146">
        <v>33.703155183515776</v>
      </c>
      <c r="N199" s="143">
        <v>8043.8535911602212</v>
      </c>
      <c r="O199" s="138">
        <v>5274</v>
      </c>
      <c r="P199" s="143">
        <v>2904</v>
      </c>
      <c r="Q199" s="184">
        <v>20857</v>
      </c>
      <c r="R199" s="184">
        <v>-17953</v>
      </c>
      <c r="S199" s="139">
        <v>8877</v>
      </c>
      <c r="T199" s="138">
        <v>10108</v>
      </c>
      <c r="U199" s="151"/>
      <c r="W199" s="183">
        <v>-8</v>
      </c>
      <c r="X199" s="183">
        <v>3</v>
      </c>
      <c r="Y199" s="184">
        <v>1027</v>
      </c>
      <c r="Z199" s="130">
        <v>1044</v>
      </c>
      <c r="AA199" s="130">
        <v>0</v>
      </c>
      <c r="AB199" s="130">
        <v>0</v>
      </c>
      <c r="AC199" s="184">
        <v>-17</v>
      </c>
      <c r="AD199" s="184">
        <v>50</v>
      </c>
      <c r="AE199" s="184">
        <v>0</v>
      </c>
      <c r="AF199" s="183">
        <v>0</v>
      </c>
      <c r="AG199" s="183">
        <v>33</v>
      </c>
      <c r="AH199" s="183">
        <v>3567</v>
      </c>
      <c r="AI199" s="183">
        <v>1013</v>
      </c>
      <c r="AJ199" s="167"/>
      <c r="AK199" s="183">
        <v>-424</v>
      </c>
      <c r="AL199" s="183">
        <v>-191</v>
      </c>
      <c r="AM199" s="180">
        <v>-1097</v>
      </c>
      <c r="AN199" s="139">
        <v>8877</v>
      </c>
      <c r="AO199" s="138">
        <v>7721</v>
      </c>
      <c r="AP199" s="184">
        <v>482</v>
      </c>
      <c r="AQ199" s="138">
        <v>674</v>
      </c>
      <c r="AR199" s="109">
        <v>22</v>
      </c>
      <c r="AS199" s="144"/>
      <c r="AT199" s="139">
        <v>94</v>
      </c>
      <c r="AU199" s="228">
        <v>2828</v>
      </c>
      <c r="AV199" s="138"/>
      <c r="AW199" s="224">
        <v>0.51299677765843177</v>
      </c>
      <c r="AX199" s="225">
        <v>47.79880149105837</v>
      </c>
      <c r="AY199" s="139">
        <v>-2898.5148514851485</v>
      </c>
      <c r="AZ199" s="144"/>
      <c r="BA199"/>
      <c r="BC199" s="189">
        <v>57.171548117154813</v>
      </c>
      <c r="BD199" s="183">
        <v>472.06506364922205</v>
      </c>
      <c r="BE199" s="140">
        <v>18.005875397235975</v>
      </c>
      <c r="BF199" s="139">
        <v>9569.3069306930702</v>
      </c>
      <c r="BG199" s="184">
        <v>4852</v>
      </c>
      <c r="BH199" s="216">
        <v>2328</v>
      </c>
      <c r="BI199" s="216">
        <v>20607</v>
      </c>
      <c r="BJ199" s="216">
        <v>-18279</v>
      </c>
      <c r="BK199" s="216">
        <v>8944</v>
      </c>
      <c r="BL199" s="216">
        <v>9921</v>
      </c>
      <c r="BM199" s="151"/>
      <c r="BO199" s="216">
        <v>-32</v>
      </c>
      <c r="BP199" s="216">
        <v>5</v>
      </c>
      <c r="BQ199" s="216">
        <v>559</v>
      </c>
      <c r="BR199" s="216">
        <v>928</v>
      </c>
      <c r="BS199" s="216">
        <v>0</v>
      </c>
      <c r="BT199" s="216">
        <v>0</v>
      </c>
      <c r="BU199" s="216">
        <v>-369</v>
      </c>
      <c r="BV199" s="184">
        <v>46</v>
      </c>
      <c r="BW199" s="184">
        <v>0</v>
      </c>
      <c r="BX199" s="183">
        <v>0</v>
      </c>
      <c r="BY199" s="183">
        <v>-323</v>
      </c>
      <c r="BZ199" s="183">
        <v>3244</v>
      </c>
      <c r="CA199" s="183">
        <v>558</v>
      </c>
      <c r="CB199" s="167"/>
      <c r="CC199" s="183">
        <v>168</v>
      </c>
      <c r="CD199" s="183">
        <v>-150</v>
      </c>
      <c r="CE199" s="180">
        <v>-5655</v>
      </c>
      <c r="CF199" s="139">
        <v>8944</v>
      </c>
      <c r="CG199" s="216">
        <v>7778</v>
      </c>
      <c r="CH199" s="216">
        <v>493</v>
      </c>
      <c r="CI199" s="216">
        <v>673</v>
      </c>
      <c r="CJ199" s="212">
        <v>22</v>
      </c>
      <c r="CK199" s="144"/>
      <c r="CL199" s="130">
        <v>130</v>
      </c>
      <c r="CM199" s="228">
        <v>2785</v>
      </c>
      <c r="CN199" s="138"/>
      <c r="CO199" s="142">
        <v>3.9509433962264149</v>
      </c>
      <c r="CP199" s="142">
        <v>46.182920933503276</v>
      </c>
      <c r="CQ199" s="183">
        <v>-2521.0053859964091</v>
      </c>
      <c r="CR199" s="144"/>
      <c r="CS199"/>
      <c r="CU199" s="232">
        <v>57.823048209038205</v>
      </c>
      <c r="CV199" s="143">
        <v>973.42908438061045</v>
      </c>
      <c r="CW199" s="146">
        <v>44.752159558590748</v>
      </c>
      <c r="CX199" s="143">
        <v>7939.3177737881506</v>
      </c>
      <c r="CY199" s="131">
        <v>4888</v>
      </c>
      <c r="CZ199" s="229">
        <v>2260</v>
      </c>
      <c r="DA199" s="229">
        <v>20662</v>
      </c>
      <c r="DB199" s="216">
        <v>-18402</v>
      </c>
      <c r="DC199" s="229">
        <v>9167</v>
      </c>
      <c r="DD199" s="229">
        <v>11326</v>
      </c>
      <c r="DE199" s="151"/>
      <c r="DG199" s="229">
        <v>-45</v>
      </c>
      <c r="DH199" s="229">
        <v>3</v>
      </c>
      <c r="DI199" s="229">
        <v>2049</v>
      </c>
      <c r="DJ199" s="229">
        <v>1151</v>
      </c>
      <c r="DK199" s="229">
        <v>0</v>
      </c>
      <c r="DL199" s="229">
        <v>0</v>
      </c>
      <c r="DM199" s="229">
        <v>898</v>
      </c>
      <c r="DN199" s="131">
        <v>43</v>
      </c>
      <c r="DO199" s="131">
        <v>0</v>
      </c>
      <c r="DP199" s="130">
        <v>0</v>
      </c>
      <c r="DQ199" s="130">
        <v>941</v>
      </c>
      <c r="DR199" s="130">
        <v>4185</v>
      </c>
      <c r="DS199" s="130">
        <v>2049</v>
      </c>
      <c r="DT199" s="167"/>
      <c r="DU199" s="183">
        <v>-179</v>
      </c>
      <c r="DV199" s="183">
        <v>-485</v>
      </c>
      <c r="DW199" s="180">
        <v>1141</v>
      </c>
      <c r="DX199" s="130">
        <v>9167</v>
      </c>
      <c r="DY199" s="229">
        <v>8020</v>
      </c>
      <c r="DZ199" s="229">
        <v>539</v>
      </c>
      <c r="EA199" s="229">
        <v>608</v>
      </c>
      <c r="EB199" s="212">
        <v>22</v>
      </c>
      <c r="EC199" s="208"/>
      <c r="ED199" s="183">
        <v>111.441176470588</v>
      </c>
      <c r="EE199" s="3">
        <v>14133</v>
      </c>
      <c r="EF199" s="183">
        <v>14643</v>
      </c>
      <c r="EG199" s="130">
        <v>14535</v>
      </c>
      <c r="EH199" s="130"/>
      <c r="EI199" s="130"/>
      <c r="EJ199" s="130"/>
      <c r="EK199" s="183">
        <v>-2233</v>
      </c>
      <c r="EL199" s="183">
        <v>60</v>
      </c>
      <c r="EM199" s="183">
        <v>63</v>
      </c>
      <c r="EN199" s="226">
        <v>-6217</v>
      </c>
      <c r="EO199" s="226">
        <v>0</v>
      </c>
      <c r="EP199" s="226">
        <v>4</v>
      </c>
      <c r="EQ199" s="226">
        <v>-919</v>
      </c>
      <c r="ER199" s="230">
        <v>11</v>
      </c>
      <c r="ES199" s="230">
        <v>0</v>
      </c>
      <c r="ET199" s="3">
        <v>2400</v>
      </c>
      <c r="EU199" s="211">
        <v>0</v>
      </c>
      <c r="EV199" s="183">
        <v>4800</v>
      </c>
      <c r="EW199" s="183">
        <v>0</v>
      </c>
      <c r="EX199" s="130">
        <v>800</v>
      </c>
      <c r="EY199" s="183">
        <v>0</v>
      </c>
      <c r="EZ199" s="3">
        <v>3150</v>
      </c>
      <c r="FA199" s="3">
        <v>3000</v>
      </c>
      <c r="FB199" s="3">
        <v>150</v>
      </c>
      <c r="FC199" s="3">
        <v>213</v>
      </c>
      <c r="FD199" s="226">
        <v>7800</v>
      </c>
      <c r="FE199" s="183">
        <v>7315</v>
      </c>
      <c r="FF199" s="183">
        <v>485</v>
      </c>
      <c r="FG199" s="183">
        <v>213</v>
      </c>
      <c r="FH199" s="230">
        <v>8115</v>
      </c>
      <c r="FI199" s="130">
        <v>7565</v>
      </c>
      <c r="FJ199" s="130">
        <v>550</v>
      </c>
      <c r="FK199" s="130">
        <v>213</v>
      </c>
      <c r="FL199" s="29">
        <v>2169.5441988950279</v>
      </c>
      <c r="FM199" s="139">
        <v>3828.1471004243281</v>
      </c>
      <c r="FN199" s="139">
        <v>3916.6965888689406</v>
      </c>
      <c r="FO199" s="172">
        <f t="shared" si="9"/>
        <v>364.54545454545456</v>
      </c>
      <c r="FP199" s="170">
        <f t="shared" si="10"/>
        <v>130.89603394809859</v>
      </c>
      <c r="FR199" s="175"/>
      <c r="FS199" s="195"/>
      <c r="FV199" s="175">
        <v>474</v>
      </c>
      <c r="FW199" s="2">
        <f t="shared" si="11"/>
        <v>-474</v>
      </c>
      <c r="FZ199" s="186"/>
      <c r="GA199" s="2"/>
      <c r="GB199" s="2"/>
    </row>
    <row r="200" spans="1:184" ht="13" x14ac:dyDescent="0.3">
      <c r="A200" s="77">
        <v>620</v>
      </c>
      <c r="B200" s="75" t="s">
        <v>191</v>
      </c>
      <c r="C200" s="179">
        <v>2597</v>
      </c>
      <c r="D200" s="138"/>
      <c r="E200" s="142">
        <v>0.25955414012738853</v>
      </c>
      <c r="F200" s="142">
        <v>41.612879015310718</v>
      </c>
      <c r="G200" s="183">
        <v>-1730.8432807085098</v>
      </c>
      <c r="H200" s="144"/>
      <c r="I200" s="186"/>
      <c r="K200" s="210">
        <v>58.614473345351534</v>
      </c>
      <c r="L200" s="143">
        <v>969.19522525991533</v>
      </c>
      <c r="M200" s="146">
        <v>32.739567371084426</v>
      </c>
      <c r="N200" s="143">
        <v>10805.159799768964</v>
      </c>
      <c r="O200" s="138">
        <v>5654</v>
      </c>
      <c r="P200" s="143">
        <v>4695</v>
      </c>
      <c r="Q200" s="184">
        <v>26489</v>
      </c>
      <c r="R200" s="184">
        <v>-21794</v>
      </c>
      <c r="S200" s="139">
        <v>8108</v>
      </c>
      <c r="T200" s="138">
        <v>13845</v>
      </c>
      <c r="U200" s="151"/>
      <c r="W200" s="183">
        <v>-46</v>
      </c>
      <c r="X200" s="183">
        <v>4</v>
      </c>
      <c r="Y200" s="184">
        <v>117</v>
      </c>
      <c r="Z200" s="130">
        <v>1093</v>
      </c>
      <c r="AA200" s="130">
        <v>0</v>
      </c>
      <c r="AB200" s="130">
        <v>0</v>
      </c>
      <c r="AC200" s="184">
        <v>-976</v>
      </c>
      <c r="AD200" s="184">
        <v>144</v>
      </c>
      <c r="AE200" s="183">
        <v>700</v>
      </c>
      <c r="AF200" s="183">
        <v>0</v>
      </c>
      <c r="AG200" s="183">
        <v>-132</v>
      </c>
      <c r="AH200" s="183">
        <v>2161</v>
      </c>
      <c r="AI200" s="183">
        <v>140</v>
      </c>
      <c r="AJ200" s="167"/>
      <c r="AK200" s="183">
        <v>-29</v>
      </c>
      <c r="AL200" s="183">
        <v>-582</v>
      </c>
      <c r="AM200" s="180">
        <v>-448</v>
      </c>
      <c r="AN200" s="139">
        <v>8108</v>
      </c>
      <c r="AO200" s="138">
        <v>6079</v>
      </c>
      <c r="AP200" s="184">
        <v>1233</v>
      </c>
      <c r="AQ200" s="138">
        <v>796</v>
      </c>
      <c r="AR200" s="109">
        <v>21.5</v>
      </c>
      <c r="AS200" s="144"/>
      <c r="AT200" s="139">
        <v>233</v>
      </c>
      <c r="AU200" s="228">
        <v>2528</v>
      </c>
      <c r="AV200" s="138"/>
      <c r="AW200" s="224">
        <v>1.259201945396264</v>
      </c>
      <c r="AX200" s="225">
        <v>36.479128856624321</v>
      </c>
      <c r="AY200" s="139">
        <v>-1544.6993670886077</v>
      </c>
      <c r="AZ200" s="144"/>
      <c r="BA200"/>
      <c r="BC200" s="189">
        <v>61.559404068668229</v>
      </c>
      <c r="BD200" s="183">
        <v>856.01265822784808</v>
      </c>
      <c r="BE200" s="140">
        <v>27.150419359274029</v>
      </c>
      <c r="BF200" s="139">
        <v>11507.911392405063</v>
      </c>
      <c r="BG200" s="184">
        <v>5028</v>
      </c>
      <c r="BH200" s="216">
        <v>4897</v>
      </c>
      <c r="BI200" s="216">
        <v>26132</v>
      </c>
      <c r="BJ200" s="216">
        <v>-21235</v>
      </c>
      <c r="BK200" s="216">
        <v>8470</v>
      </c>
      <c r="BL200" s="216">
        <v>14183</v>
      </c>
      <c r="BM200" s="151"/>
      <c r="BO200" s="216">
        <v>-42</v>
      </c>
      <c r="BP200" s="216">
        <v>6</v>
      </c>
      <c r="BQ200" s="216">
        <v>1382</v>
      </c>
      <c r="BR200" s="216">
        <v>1034</v>
      </c>
      <c r="BS200" s="216">
        <v>0</v>
      </c>
      <c r="BT200" s="216">
        <v>0</v>
      </c>
      <c r="BU200" s="216">
        <v>348</v>
      </c>
      <c r="BV200" s="184">
        <v>144</v>
      </c>
      <c r="BW200" s="183">
        <v>0</v>
      </c>
      <c r="BX200" s="183">
        <v>0</v>
      </c>
      <c r="BY200" s="183">
        <v>492</v>
      </c>
      <c r="BZ200" s="183">
        <v>2653</v>
      </c>
      <c r="CA200" s="183">
        <v>731</v>
      </c>
      <c r="CB200" s="167"/>
      <c r="CC200" s="183">
        <v>95</v>
      </c>
      <c r="CD200" s="183">
        <v>-581</v>
      </c>
      <c r="CE200" s="180">
        <v>915</v>
      </c>
      <c r="CF200" s="139">
        <v>8470</v>
      </c>
      <c r="CG200" s="216">
        <v>6425</v>
      </c>
      <c r="CH200" s="216">
        <v>1221</v>
      </c>
      <c r="CI200" s="216">
        <v>824</v>
      </c>
      <c r="CJ200" s="212">
        <v>21.5</v>
      </c>
      <c r="CK200" s="144"/>
      <c r="CL200" s="130">
        <v>23</v>
      </c>
      <c r="CM200" s="228">
        <v>2491</v>
      </c>
      <c r="CN200" s="138"/>
      <c r="CO200" s="142">
        <v>67.428571428571431</v>
      </c>
      <c r="CP200" s="142">
        <v>28.432524842397694</v>
      </c>
      <c r="CQ200" s="183">
        <v>-818.14532316338818</v>
      </c>
      <c r="CR200" s="144"/>
      <c r="CS200"/>
      <c r="CU200" s="232">
        <v>68.366708385481857</v>
      </c>
      <c r="CV200" s="143">
        <v>947.81212364512248</v>
      </c>
      <c r="CW200" s="146">
        <v>32.530482050507722</v>
      </c>
      <c r="CX200" s="143">
        <v>10634.684865515857</v>
      </c>
      <c r="CY200" s="131">
        <v>4932</v>
      </c>
      <c r="CZ200" s="229">
        <v>4652</v>
      </c>
      <c r="DA200" s="229">
        <v>25825</v>
      </c>
      <c r="DB200" s="216">
        <v>-21173</v>
      </c>
      <c r="DC200" s="229">
        <v>8457</v>
      </c>
      <c r="DD200" s="229">
        <v>15082</v>
      </c>
      <c r="DE200" s="151"/>
      <c r="DG200" s="229">
        <v>-35</v>
      </c>
      <c r="DH200" s="229">
        <v>-6</v>
      </c>
      <c r="DI200" s="229">
        <v>2325</v>
      </c>
      <c r="DJ200" s="229">
        <v>1125</v>
      </c>
      <c r="DK200" s="229">
        <v>0</v>
      </c>
      <c r="DL200" s="229">
        <v>0</v>
      </c>
      <c r="DM200" s="229">
        <v>1200</v>
      </c>
      <c r="DN200" s="131">
        <v>144</v>
      </c>
      <c r="DO200" s="130">
        <v>0</v>
      </c>
      <c r="DP200" s="130">
        <v>0</v>
      </c>
      <c r="DQ200" s="130">
        <v>1344</v>
      </c>
      <c r="DR200" s="130">
        <v>3997</v>
      </c>
      <c r="DS200" s="130">
        <v>2303</v>
      </c>
      <c r="DT200" s="167"/>
      <c r="DU200" s="183">
        <v>397</v>
      </c>
      <c r="DV200" s="183">
        <v>0</v>
      </c>
      <c r="DW200" s="180">
        <v>1804</v>
      </c>
      <c r="DX200" s="130">
        <v>8457</v>
      </c>
      <c r="DY200" s="229">
        <v>6392</v>
      </c>
      <c r="DZ200" s="229">
        <v>1325</v>
      </c>
      <c r="EA200" s="229">
        <v>740</v>
      </c>
      <c r="EB200" s="212">
        <v>21.5</v>
      </c>
      <c r="EC200" s="208"/>
      <c r="ED200" s="183">
        <v>52.007352941176499</v>
      </c>
      <c r="EE200" s="3">
        <v>18006</v>
      </c>
      <c r="EF200" s="183">
        <v>18286</v>
      </c>
      <c r="EG200" s="130">
        <v>17853</v>
      </c>
      <c r="EH200" s="130"/>
      <c r="EI200" s="130"/>
      <c r="EJ200" s="130"/>
      <c r="EK200" s="183">
        <v>-936</v>
      </c>
      <c r="EL200" s="183">
        <v>144</v>
      </c>
      <c r="EM200" s="183">
        <v>204</v>
      </c>
      <c r="EN200" s="226">
        <v>-1431</v>
      </c>
      <c r="EO200" s="226">
        <v>99</v>
      </c>
      <c r="EP200" s="226">
        <v>1516</v>
      </c>
      <c r="EQ200" s="226">
        <v>-732</v>
      </c>
      <c r="ER200" s="230">
        <v>220</v>
      </c>
      <c r="ES200" s="230">
        <v>13</v>
      </c>
      <c r="ET200" s="3">
        <v>-7</v>
      </c>
      <c r="EU200" s="211">
        <v>1200</v>
      </c>
      <c r="EV200" s="183">
        <v>0</v>
      </c>
      <c r="EW200" s="183">
        <v>-200</v>
      </c>
      <c r="EX200" s="130">
        <v>0</v>
      </c>
      <c r="EY200" s="183">
        <v>-1581</v>
      </c>
      <c r="EZ200" s="3">
        <v>7013</v>
      </c>
      <c r="FA200" s="3">
        <v>5232</v>
      </c>
      <c r="FB200" s="3">
        <v>1781</v>
      </c>
      <c r="FC200" s="3">
        <v>569</v>
      </c>
      <c r="FD200" s="226">
        <v>6231</v>
      </c>
      <c r="FE200" s="183">
        <v>4650</v>
      </c>
      <c r="FF200" s="183">
        <v>1581</v>
      </c>
      <c r="FG200" s="183">
        <v>0</v>
      </c>
      <c r="FH200" s="230">
        <v>4650</v>
      </c>
      <c r="FI200" s="130">
        <v>4069</v>
      </c>
      <c r="FJ200" s="130">
        <v>581</v>
      </c>
      <c r="FK200" s="130">
        <v>0</v>
      </c>
      <c r="FL200" s="29">
        <v>4930.6892568348094</v>
      </c>
      <c r="FM200" s="139">
        <v>5617.0886075949365</v>
      </c>
      <c r="FN200" s="139">
        <v>5839.0204737053391</v>
      </c>
      <c r="FO200" s="172">
        <f t="shared" si="9"/>
        <v>297.30232558139534</v>
      </c>
      <c r="FP200" s="170">
        <f t="shared" si="10"/>
        <v>119.3505923650724</v>
      </c>
      <c r="FR200" s="175"/>
      <c r="FS200" s="195"/>
      <c r="FV200" s="175">
        <v>1092</v>
      </c>
      <c r="FW200" s="2">
        <f t="shared" si="11"/>
        <v>-1092</v>
      </c>
      <c r="FZ200" s="186"/>
      <c r="GA200" s="2"/>
      <c r="GB200" s="2"/>
    </row>
    <row r="201" spans="1:184" ht="13" x14ac:dyDescent="0.3">
      <c r="A201" s="77">
        <v>623</v>
      </c>
      <c r="B201" s="75" t="s">
        <v>192</v>
      </c>
      <c r="C201" s="179">
        <v>2197</v>
      </c>
      <c r="D201" s="138"/>
      <c r="E201" s="142">
        <v>4.1473684210526311</v>
      </c>
      <c r="F201" s="142">
        <v>11.52457372116349</v>
      </c>
      <c r="G201" s="183">
        <v>1656.3495675921711</v>
      </c>
      <c r="H201" s="144"/>
      <c r="I201" s="186"/>
      <c r="K201" s="210">
        <v>88.889424467367206</v>
      </c>
      <c r="L201" s="143">
        <v>2268.54802002731</v>
      </c>
      <c r="M201" s="146">
        <v>96.543013320596515</v>
      </c>
      <c r="N201" s="143">
        <v>8576.6954938552572</v>
      </c>
      <c r="O201" s="138">
        <v>4179</v>
      </c>
      <c r="P201" s="143">
        <v>2648</v>
      </c>
      <c r="Q201" s="184">
        <v>17600</v>
      </c>
      <c r="R201" s="184">
        <v>-14952</v>
      </c>
      <c r="S201" s="139">
        <v>9036</v>
      </c>
      <c r="T201" s="138">
        <v>8256</v>
      </c>
      <c r="U201" s="151"/>
      <c r="W201" s="183">
        <v>-21</v>
      </c>
      <c r="X201" s="183">
        <v>15</v>
      </c>
      <c r="Y201" s="184">
        <v>2334</v>
      </c>
      <c r="Z201" s="130">
        <v>629</v>
      </c>
      <c r="AA201" s="130">
        <v>0</v>
      </c>
      <c r="AB201" s="130">
        <v>0</v>
      </c>
      <c r="AC201" s="184">
        <v>1705</v>
      </c>
      <c r="AD201" s="184">
        <v>0</v>
      </c>
      <c r="AE201" s="183">
        <v>0</v>
      </c>
      <c r="AF201" s="183">
        <v>0</v>
      </c>
      <c r="AG201" s="183">
        <v>1705</v>
      </c>
      <c r="AH201" s="183">
        <v>7763</v>
      </c>
      <c r="AI201" s="183">
        <v>2334</v>
      </c>
      <c r="AJ201" s="167"/>
      <c r="AK201" s="183">
        <v>615</v>
      </c>
      <c r="AL201" s="183">
        <v>-540</v>
      </c>
      <c r="AM201" s="180">
        <v>1721</v>
      </c>
      <c r="AN201" s="139">
        <v>9036</v>
      </c>
      <c r="AO201" s="138">
        <v>5888</v>
      </c>
      <c r="AP201" s="184">
        <v>1428</v>
      </c>
      <c r="AQ201" s="138">
        <v>1720</v>
      </c>
      <c r="AR201" s="109">
        <v>20</v>
      </c>
      <c r="AS201" s="144"/>
      <c r="AT201" s="139">
        <v>3</v>
      </c>
      <c r="AU201" s="228">
        <v>2151</v>
      </c>
      <c r="AV201" s="138"/>
      <c r="AW201" s="224">
        <v>14.032889584964762</v>
      </c>
      <c r="AX201" s="225">
        <v>8.6288884485833162</v>
      </c>
      <c r="AY201" s="139">
        <v>2509.5304509530451</v>
      </c>
      <c r="AZ201" s="144"/>
      <c r="BA201"/>
      <c r="BC201" s="189">
        <v>91.889507892293409</v>
      </c>
      <c r="BD201" s="183">
        <v>2798.2333798233381</v>
      </c>
      <c r="BE201" s="140">
        <v>114.81838611895056</v>
      </c>
      <c r="BF201" s="139">
        <v>8895.3974895397496</v>
      </c>
      <c r="BG201" s="184">
        <v>4189</v>
      </c>
      <c r="BH201" s="216">
        <v>2695</v>
      </c>
      <c r="BI201" s="216">
        <v>18049</v>
      </c>
      <c r="BJ201" s="216">
        <v>-15354</v>
      </c>
      <c r="BK201" s="216">
        <v>9366</v>
      </c>
      <c r="BL201" s="216">
        <v>8127</v>
      </c>
      <c r="BM201" s="151"/>
      <c r="BO201" s="216">
        <v>-13</v>
      </c>
      <c r="BP201" s="216">
        <v>93</v>
      </c>
      <c r="BQ201" s="216">
        <v>2219</v>
      </c>
      <c r="BR201" s="216">
        <v>869</v>
      </c>
      <c r="BS201" s="216">
        <v>0</v>
      </c>
      <c r="BT201" s="216">
        <v>0</v>
      </c>
      <c r="BU201" s="216">
        <v>1350</v>
      </c>
      <c r="BV201" s="184">
        <v>0</v>
      </c>
      <c r="BW201" s="183">
        <v>0</v>
      </c>
      <c r="BX201" s="183">
        <v>-500</v>
      </c>
      <c r="BY201" s="183">
        <v>850</v>
      </c>
      <c r="BZ201" s="183">
        <v>8615</v>
      </c>
      <c r="CA201" s="183">
        <v>2219</v>
      </c>
      <c r="CB201" s="167"/>
      <c r="CC201" s="183">
        <v>-169</v>
      </c>
      <c r="CD201" s="183">
        <v>-475</v>
      </c>
      <c r="CE201" s="180">
        <v>1749</v>
      </c>
      <c r="CF201" s="139">
        <v>9366</v>
      </c>
      <c r="CG201" s="216">
        <v>6070</v>
      </c>
      <c r="CH201" s="216">
        <v>1531</v>
      </c>
      <c r="CI201" s="216">
        <v>1765</v>
      </c>
      <c r="CJ201" s="212">
        <v>20</v>
      </c>
      <c r="CK201" s="144"/>
      <c r="CL201" s="130">
        <v>7</v>
      </c>
      <c r="CM201" s="228">
        <v>2137</v>
      </c>
      <c r="CN201" s="138"/>
      <c r="CO201" s="142">
        <v>7.4829721362229105</v>
      </c>
      <c r="CP201" s="142">
        <v>10.05698144450397</v>
      </c>
      <c r="CQ201" s="183">
        <v>3138.5119326158165</v>
      </c>
      <c r="CR201" s="144"/>
      <c r="CS201"/>
      <c r="CU201" s="232">
        <v>91.239669421487605</v>
      </c>
      <c r="CV201" s="143">
        <v>3231.6331305568556</v>
      </c>
      <c r="CW201" s="146">
        <v>127.72688117557638</v>
      </c>
      <c r="CX201" s="143">
        <v>9234.9087505849329</v>
      </c>
      <c r="CY201" s="131">
        <v>4013</v>
      </c>
      <c r="CZ201" s="229">
        <v>2452</v>
      </c>
      <c r="DA201" s="229">
        <v>18214</v>
      </c>
      <c r="DB201" s="216">
        <v>-15762</v>
      </c>
      <c r="DC201" s="229">
        <v>9189</v>
      </c>
      <c r="DD201" s="229">
        <v>8892</v>
      </c>
      <c r="DE201" s="151"/>
      <c r="DG201" s="229">
        <v>-5</v>
      </c>
      <c r="DH201" s="229">
        <v>92</v>
      </c>
      <c r="DI201" s="229">
        <v>2406</v>
      </c>
      <c r="DJ201" s="229">
        <v>670</v>
      </c>
      <c r="DK201" s="229">
        <v>0</v>
      </c>
      <c r="DL201" s="229">
        <v>0</v>
      </c>
      <c r="DM201" s="229">
        <v>1736</v>
      </c>
      <c r="DN201" s="131">
        <v>0</v>
      </c>
      <c r="DO201" s="130">
        <v>0</v>
      </c>
      <c r="DP201" s="130">
        <v>0</v>
      </c>
      <c r="DQ201" s="130">
        <v>1736</v>
      </c>
      <c r="DR201" s="130">
        <v>10350</v>
      </c>
      <c r="DS201" s="130">
        <v>2395</v>
      </c>
      <c r="DT201" s="167"/>
      <c r="DU201" s="183">
        <v>-745</v>
      </c>
      <c r="DV201" s="183">
        <v>-312</v>
      </c>
      <c r="DW201" s="180">
        <v>1312</v>
      </c>
      <c r="DX201" s="130">
        <v>9189</v>
      </c>
      <c r="DY201" s="229">
        <v>5816</v>
      </c>
      <c r="DZ201" s="229">
        <v>1764</v>
      </c>
      <c r="EA201" s="229">
        <v>1609</v>
      </c>
      <c r="EB201" s="212">
        <v>19.5</v>
      </c>
      <c r="EC201" s="208"/>
      <c r="ED201" s="183">
        <v>14</v>
      </c>
      <c r="EE201" s="3">
        <v>11920</v>
      </c>
      <c r="EF201" s="183">
        <v>12295</v>
      </c>
      <c r="EG201" s="130">
        <v>12587</v>
      </c>
      <c r="EH201" s="130"/>
      <c r="EI201" s="130"/>
      <c r="EJ201" s="130"/>
      <c r="EK201" s="183">
        <v>-649</v>
      </c>
      <c r="EL201" s="183">
        <v>36</v>
      </c>
      <c r="EM201" s="183">
        <v>0</v>
      </c>
      <c r="EN201" s="226">
        <v>-586</v>
      </c>
      <c r="EO201" s="226">
        <v>31</v>
      </c>
      <c r="EP201" s="226">
        <v>85</v>
      </c>
      <c r="EQ201" s="226">
        <v>-1194</v>
      </c>
      <c r="ER201" s="230">
        <v>97</v>
      </c>
      <c r="ES201" s="230">
        <v>14</v>
      </c>
      <c r="ET201" s="3">
        <v>0</v>
      </c>
      <c r="EU201" s="211">
        <v>0</v>
      </c>
      <c r="EV201" s="183">
        <v>0</v>
      </c>
      <c r="EW201" s="183">
        <v>0</v>
      </c>
      <c r="EX201" s="130">
        <v>0</v>
      </c>
      <c r="EY201" s="183">
        <v>0</v>
      </c>
      <c r="EZ201" s="3">
        <v>1088</v>
      </c>
      <c r="FA201" s="3">
        <v>613</v>
      </c>
      <c r="FB201" s="3">
        <v>475</v>
      </c>
      <c r="FC201" s="3">
        <v>418</v>
      </c>
      <c r="FD201" s="226">
        <v>613</v>
      </c>
      <c r="FE201" s="183">
        <v>300</v>
      </c>
      <c r="FF201" s="183">
        <v>313</v>
      </c>
      <c r="FG201" s="183">
        <v>418</v>
      </c>
      <c r="FH201" s="230">
        <v>300</v>
      </c>
      <c r="FI201" s="130">
        <v>100</v>
      </c>
      <c r="FJ201" s="130">
        <v>200</v>
      </c>
      <c r="FK201" s="130">
        <v>418</v>
      </c>
      <c r="FL201" s="29">
        <v>2389.6222121074193</v>
      </c>
      <c r="FM201" s="139">
        <v>2504.8814504881452</v>
      </c>
      <c r="FN201" s="139">
        <v>2334.1132428638275</v>
      </c>
      <c r="FO201" s="172">
        <f t="shared" si="9"/>
        <v>298.25641025641028</v>
      </c>
      <c r="FP201" s="170">
        <f t="shared" si="10"/>
        <v>139.56781013402448</v>
      </c>
      <c r="FR201" s="175"/>
      <c r="FS201" s="195"/>
      <c r="FV201" s="175">
        <v>496</v>
      </c>
      <c r="FW201" s="2">
        <f t="shared" si="11"/>
        <v>-496</v>
      </c>
      <c r="FZ201" s="186"/>
      <c r="GA201" s="2"/>
      <c r="GB201" s="2"/>
    </row>
    <row r="202" spans="1:184" ht="13" x14ac:dyDescent="0.3">
      <c r="A202" s="77">
        <v>624</v>
      </c>
      <c r="B202" s="75" t="s">
        <v>193</v>
      </c>
      <c r="C202" s="179">
        <v>5187</v>
      </c>
      <c r="D202" s="138"/>
      <c r="E202" s="142">
        <v>0.27831236121391562</v>
      </c>
      <c r="F202" s="142">
        <v>56.402116402116405</v>
      </c>
      <c r="G202" s="183">
        <v>-3047.4262579525739</v>
      </c>
      <c r="H202" s="144"/>
      <c r="I202" s="186"/>
      <c r="K202" s="210">
        <v>38.389398572884808</v>
      </c>
      <c r="L202" s="143">
        <v>231.15481010217854</v>
      </c>
      <c r="M202" s="146">
        <v>12.464327418757653</v>
      </c>
      <c r="N202" s="143">
        <v>6769.0379795642957</v>
      </c>
      <c r="O202" s="138">
        <v>7630</v>
      </c>
      <c r="P202" s="143">
        <v>2654</v>
      </c>
      <c r="Q202" s="184">
        <v>31790</v>
      </c>
      <c r="R202" s="184">
        <v>-29136</v>
      </c>
      <c r="S202" s="139">
        <v>20590</v>
      </c>
      <c r="T202" s="138">
        <v>8886</v>
      </c>
      <c r="U202" s="151"/>
      <c r="W202" s="183">
        <v>2</v>
      </c>
      <c r="X202" s="183">
        <v>16</v>
      </c>
      <c r="Y202" s="184">
        <v>358</v>
      </c>
      <c r="Z202" s="130">
        <v>1454</v>
      </c>
      <c r="AA202" s="130">
        <v>0</v>
      </c>
      <c r="AB202" s="131">
        <v>0</v>
      </c>
      <c r="AC202" s="184">
        <v>-1096</v>
      </c>
      <c r="AD202" s="183">
        <v>0</v>
      </c>
      <c r="AE202" s="183">
        <v>0</v>
      </c>
      <c r="AF202" s="183">
        <v>0</v>
      </c>
      <c r="AG202" s="183">
        <v>-1096</v>
      </c>
      <c r="AH202" s="183">
        <v>2903</v>
      </c>
      <c r="AI202" s="183">
        <v>170</v>
      </c>
      <c r="AJ202" s="167"/>
      <c r="AK202" s="183">
        <v>494</v>
      </c>
      <c r="AL202" s="183">
        <v>-1333</v>
      </c>
      <c r="AM202" s="180">
        <v>-1449</v>
      </c>
      <c r="AN202" s="139">
        <v>20590</v>
      </c>
      <c r="AO202" s="138">
        <v>17742</v>
      </c>
      <c r="AP202" s="184">
        <v>788</v>
      </c>
      <c r="AQ202" s="138">
        <v>2060</v>
      </c>
      <c r="AR202" s="109">
        <v>20.25</v>
      </c>
      <c r="AS202" s="144"/>
      <c r="AT202" s="139">
        <v>223</v>
      </c>
      <c r="AU202" s="228">
        <v>5140</v>
      </c>
      <c r="AV202" s="138"/>
      <c r="AW202" s="224">
        <v>0.3395585738539898</v>
      </c>
      <c r="AX202" s="225">
        <v>59.035031847133759</v>
      </c>
      <c r="AY202" s="139">
        <v>-3262.6459143968873</v>
      </c>
      <c r="AZ202" s="144"/>
      <c r="BA202"/>
      <c r="BC202" s="189">
        <v>36.154905335628229</v>
      </c>
      <c r="BD202" s="183">
        <v>266.34241245136184</v>
      </c>
      <c r="BE202" s="140">
        <v>15.012768897968995</v>
      </c>
      <c r="BF202" s="139">
        <v>6475.4863813229576</v>
      </c>
      <c r="BG202" s="184">
        <v>7144</v>
      </c>
      <c r="BH202" s="216">
        <v>1668</v>
      </c>
      <c r="BI202" s="216">
        <v>30708</v>
      </c>
      <c r="BJ202" s="216">
        <v>-29040</v>
      </c>
      <c r="BK202" s="216">
        <v>20924</v>
      </c>
      <c r="BL202" s="216">
        <v>8808</v>
      </c>
      <c r="BM202" s="151"/>
      <c r="BO202" s="216">
        <v>7</v>
      </c>
      <c r="BP202" s="216">
        <v>38</v>
      </c>
      <c r="BQ202" s="216">
        <v>737</v>
      </c>
      <c r="BR202" s="216">
        <v>1532</v>
      </c>
      <c r="BS202" s="216">
        <v>0</v>
      </c>
      <c r="BT202" s="216">
        <v>0</v>
      </c>
      <c r="BU202" s="216">
        <v>-795</v>
      </c>
      <c r="BV202" s="183">
        <v>0</v>
      </c>
      <c r="BW202" s="183">
        <v>0</v>
      </c>
      <c r="BX202" s="183">
        <v>0</v>
      </c>
      <c r="BY202" s="183">
        <v>-795</v>
      </c>
      <c r="BZ202" s="183">
        <v>2108</v>
      </c>
      <c r="CA202" s="183">
        <v>471</v>
      </c>
      <c r="CB202" s="167"/>
      <c r="CC202" s="183">
        <v>718</v>
      </c>
      <c r="CD202" s="183">
        <v>-883</v>
      </c>
      <c r="CE202" s="180">
        <v>-937</v>
      </c>
      <c r="CF202" s="139">
        <v>20924</v>
      </c>
      <c r="CG202" s="216">
        <v>17972</v>
      </c>
      <c r="CH202" s="216">
        <v>845</v>
      </c>
      <c r="CI202" s="216">
        <v>2107</v>
      </c>
      <c r="CJ202" s="212">
        <v>20.25</v>
      </c>
      <c r="CK202" s="144"/>
      <c r="CL202" s="130">
        <v>156</v>
      </c>
      <c r="CM202" s="228">
        <v>5125</v>
      </c>
      <c r="CN202" s="138"/>
      <c r="CO202" s="142">
        <v>2.7241725175526579</v>
      </c>
      <c r="CP202" s="142">
        <v>47.216022723979016</v>
      </c>
      <c r="CQ202" s="183">
        <v>-2797.268292682927</v>
      </c>
      <c r="CR202" s="144"/>
      <c r="CS202"/>
      <c r="CU202" s="232">
        <v>40.496270997421064</v>
      </c>
      <c r="CV202" s="143">
        <v>301.07317073170731</v>
      </c>
      <c r="CW202" s="146">
        <v>16.502915580039264</v>
      </c>
      <c r="CX202" s="143">
        <v>6658.9268292682927</v>
      </c>
      <c r="CY202" s="131">
        <v>7010</v>
      </c>
      <c r="CZ202" s="229">
        <v>1397</v>
      </c>
      <c r="DA202" s="229">
        <v>31837</v>
      </c>
      <c r="DB202" s="216">
        <v>-30440</v>
      </c>
      <c r="DC202" s="229">
        <v>22354</v>
      </c>
      <c r="DD202" s="229">
        <v>10750</v>
      </c>
      <c r="DE202" s="151"/>
      <c r="DG202" s="229">
        <v>-10</v>
      </c>
      <c r="DH202" s="229">
        <v>32</v>
      </c>
      <c r="DI202" s="229">
        <v>2686</v>
      </c>
      <c r="DJ202" s="229">
        <v>1568</v>
      </c>
      <c r="DK202" s="229">
        <v>0</v>
      </c>
      <c r="DL202" s="229">
        <v>0</v>
      </c>
      <c r="DM202" s="229">
        <v>1118</v>
      </c>
      <c r="DN202" s="130">
        <v>0</v>
      </c>
      <c r="DO202" s="130">
        <v>0</v>
      </c>
      <c r="DP202" s="130">
        <v>0</v>
      </c>
      <c r="DQ202" s="130">
        <v>1118</v>
      </c>
      <c r="DR202" s="130">
        <v>3225</v>
      </c>
      <c r="DS202" s="130">
        <v>3522</v>
      </c>
      <c r="DT202" s="167"/>
      <c r="DU202" s="183">
        <v>-13</v>
      </c>
      <c r="DV202" s="183">
        <v>-967</v>
      </c>
      <c r="DW202" s="180">
        <v>2387</v>
      </c>
      <c r="DX202" s="130">
        <v>22354</v>
      </c>
      <c r="DY202" s="229">
        <v>19501</v>
      </c>
      <c r="DZ202" s="229">
        <v>923</v>
      </c>
      <c r="EA202" s="229">
        <v>1930</v>
      </c>
      <c r="EB202" s="212">
        <v>20.75</v>
      </c>
      <c r="EC202" s="208"/>
      <c r="ED202" s="183">
        <v>218.220588235294</v>
      </c>
      <c r="EE202" s="3">
        <v>20505</v>
      </c>
      <c r="EF202" s="183">
        <v>21367</v>
      </c>
      <c r="EG202" s="130">
        <v>22112</v>
      </c>
      <c r="EH202" s="130"/>
      <c r="EI202" s="130"/>
      <c r="EJ202" s="130"/>
      <c r="EK202" s="183">
        <v>-1958</v>
      </c>
      <c r="EL202" s="183">
        <v>138</v>
      </c>
      <c r="EM202" s="183">
        <v>201</v>
      </c>
      <c r="EN202" s="226">
        <v>-1679</v>
      </c>
      <c r="EO202" s="226">
        <v>0</v>
      </c>
      <c r="EP202" s="226">
        <v>271</v>
      </c>
      <c r="EQ202" s="226">
        <v>-1259</v>
      </c>
      <c r="ER202" s="230">
        <v>0</v>
      </c>
      <c r="ES202" s="230">
        <v>124</v>
      </c>
      <c r="ET202" s="3">
        <v>0</v>
      </c>
      <c r="EU202" s="211">
        <v>2500</v>
      </c>
      <c r="EV202" s="183">
        <v>0</v>
      </c>
      <c r="EW202" s="183">
        <v>3000</v>
      </c>
      <c r="EX202" s="130">
        <v>5000</v>
      </c>
      <c r="EY202" s="183">
        <v>-6500</v>
      </c>
      <c r="EZ202" s="3">
        <v>14525</v>
      </c>
      <c r="FA202" s="3">
        <v>4142</v>
      </c>
      <c r="FB202" s="3">
        <v>10383</v>
      </c>
      <c r="FC202" s="3">
        <v>1172</v>
      </c>
      <c r="FD202" s="226">
        <v>16642</v>
      </c>
      <c r="FE202" s="183">
        <v>3425</v>
      </c>
      <c r="FF202" s="183">
        <v>13217</v>
      </c>
      <c r="FG202" s="183">
        <v>1172</v>
      </c>
      <c r="FH202" s="230">
        <v>14175</v>
      </c>
      <c r="FI202" s="130">
        <v>7025</v>
      </c>
      <c r="FJ202" s="130">
        <v>7150</v>
      </c>
      <c r="FK202" s="130">
        <v>1172</v>
      </c>
      <c r="FL202" s="29">
        <v>3104.4919992288415</v>
      </c>
      <c r="FM202" s="139">
        <v>3913.4241245136186</v>
      </c>
      <c r="FN202" s="139">
        <v>3562.9268292682927</v>
      </c>
      <c r="FO202" s="172">
        <f t="shared" si="9"/>
        <v>939.80722891566268</v>
      </c>
      <c r="FP202" s="170">
        <f t="shared" si="10"/>
        <v>183.37702027622689</v>
      </c>
      <c r="FR202" s="175"/>
      <c r="FS202" s="195"/>
      <c r="FV202" s="175">
        <v>1368</v>
      </c>
      <c r="FW202" s="2">
        <f t="shared" si="11"/>
        <v>-1368</v>
      </c>
      <c r="FZ202" s="186"/>
      <c r="GA202" s="2"/>
      <c r="GB202" s="2"/>
    </row>
    <row r="203" spans="1:184" ht="13" x14ac:dyDescent="0.3">
      <c r="A203" s="77">
        <v>625</v>
      </c>
      <c r="B203" s="75" t="s">
        <v>194</v>
      </c>
      <c r="C203" s="179">
        <v>3146</v>
      </c>
      <c r="D203" s="138"/>
      <c r="E203" s="142">
        <v>2.7901234567901234</v>
      </c>
      <c r="F203" s="142">
        <v>58.78282023320191</v>
      </c>
      <c r="G203" s="183">
        <v>-1585.8232676414493</v>
      </c>
      <c r="H203" s="144"/>
      <c r="I203" s="186"/>
      <c r="K203" s="210">
        <v>55.71143534106497</v>
      </c>
      <c r="L203" s="143">
        <v>2263.8270820089001</v>
      </c>
      <c r="M203" s="146">
        <v>97.12422940407248</v>
      </c>
      <c r="N203" s="143">
        <v>8507.6287349014619</v>
      </c>
      <c r="O203" s="138">
        <v>7278</v>
      </c>
      <c r="P203" s="143">
        <v>2841</v>
      </c>
      <c r="Q203" s="184">
        <v>23084</v>
      </c>
      <c r="R203" s="184">
        <v>-20243</v>
      </c>
      <c r="S203" s="139">
        <v>10945</v>
      </c>
      <c r="T203" s="138">
        <v>10056</v>
      </c>
      <c r="U203" s="151"/>
      <c r="W203" s="183">
        <v>66</v>
      </c>
      <c r="X203" s="183">
        <v>-146</v>
      </c>
      <c r="Y203" s="184">
        <v>678</v>
      </c>
      <c r="Z203" s="130">
        <v>2683</v>
      </c>
      <c r="AA203" s="130">
        <v>0</v>
      </c>
      <c r="AB203" s="130">
        <v>0</v>
      </c>
      <c r="AC203" s="184">
        <v>-2005</v>
      </c>
      <c r="AD203" s="183">
        <v>0</v>
      </c>
      <c r="AE203" s="183">
        <v>0</v>
      </c>
      <c r="AF203" s="183">
        <v>0</v>
      </c>
      <c r="AG203" s="183">
        <v>-2005</v>
      </c>
      <c r="AH203" s="183">
        <v>11508</v>
      </c>
      <c r="AI203" s="183">
        <v>688</v>
      </c>
      <c r="AJ203" s="167"/>
      <c r="AK203" s="183">
        <v>75</v>
      </c>
      <c r="AL203" s="183">
        <v>-243</v>
      </c>
      <c r="AM203" s="180">
        <v>-1633</v>
      </c>
      <c r="AN203" s="139">
        <v>10945</v>
      </c>
      <c r="AO203" s="138">
        <v>8926</v>
      </c>
      <c r="AP203" s="184">
        <v>589</v>
      </c>
      <c r="AQ203" s="138">
        <v>1430</v>
      </c>
      <c r="AR203" s="109">
        <v>20.25</v>
      </c>
      <c r="AS203" s="144"/>
      <c r="AT203" s="139">
        <v>158</v>
      </c>
      <c r="AU203" s="228">
        <v>3077</v>
      </c>
      <c r="AV203" s="138"/>
      <c r="AW203" s="224">
        <v>2.6579951929874168E-2</v>
      </c>
      <c r="AX203" s="225">
        <v>62.629391148422854</v>
      </c>
      <c r="AY203" s="139">
        <v>-2161.5209619759507</v>
      </c>
      <c r="AZ203" s="144"/>
      <c r="BA203"/>
      <c r="BC203" s="189">
        <v>52.300637099504478</v>
      </c>
      <c r="BD203" s="183">
        <v>2353.2661683457914</v>
      </c>
      <c r="BE203" s="140">
        <v>95.909024930144795</v>
      </c>
      <c r="BF203" s="139">
        <v>8955.8011049723755</v>
      </c>
      <c r="BG203" s="184">
        <v>7668</v>
      </c>
      <c r="BH203" s="216">
        <v>3114</v>
      </c>
      <c r="BI203" s="216">
        <v>24894</v>
      </c>
      <c r="BJ203" s="216">
        <v>-21780</v>
      </c>
      <c r="BK203" s="216">
        <v>11230</v>
      </c>
      <c r="BL203" s="216">
        <v>10194</v>
      </c>
      <c r="BM203" s="151"/>
      <c r="BO203" s="216">
        <v>44</v>
      </c>
      <c r="BP203" s="216">
        <v>357</v>
      </c>
      <c r="BQ203" s="216">
        <v>45</v>
      </c>
      <c r="BR203" s="216">
        <v>991</v>
      </c>
      <c r="BS203" s="216">
        <v>70</v>
      </c>
      <c r="BT203" s="216">
        <v>0</v>
      </c>
      <c r="BU203" s="216">
        <v>-876</v>
      </c>
      <c r="BV203" s="183">
        <v>0</v>
      </c>
      <c r="BW203" s="183">
        <v>0</v>
      </c>
      <c r="BX203" s="183">
        <v>0</v>
      </c>
      <c r="BY203" s="183">
        <v>-876</v>
      </c>
      <c r="BZ203" s="183">
        <v>10631</v>
      </c>
      <c r="CA203" s="183">
        <v>147</v>
      </c>
      <c r="CB203" s="167"/>
      <c r="CC203" s="183">
        <v>427</v>
      </c>
      <c r="CD203" s="183">
        <v>0</v>
      </c>
      <c r="CE203" s="180">
        <v>-1725</v>
      </c>
      <c r="CF203" s="139">
        <v>11230</v>
      </c>
      <c r="CG203" s="216">
        <v>9064</v>
      </c>
      <c r="CH203" s="216">
        <v>519</v>
      </c>
      <c r="CI203" s="216">
        <v>1647</v>
      </c>
      <c r="CJ203" s="212">
        <v>20.75</v>
      </c>
      <c r="CK203" s="144"/>
      <c r="CL203" s="130">
        <v>224</v>
      </c>
      <c r="CM203" s="228">
        <v>3051</v>
      </c>
      <c r="CN203" s="138"/>
      <c r="CO203" s="142">
        <v>1573.5</v>
      </c>
      <c r="CP203" s="142">
        <v>48.301542670415685</v>
      </c>
      <c r="CQ203" s="183">
        <v>-1391.0193379219927</v>
      </c>
      <c r="CR203" s="144"/>
      <c r="CS203"/>
      <c r="CU203" s="232">
        <v>59.638762368462388</v>
      </c>
      <c r="CV203" s="143">
        <v>2535.8898721730579</v>
      </c>
      <c r="CW203" s="146">
        <v>115.70471586020405</v>
      </c>
      <c r="CX203" s="143">
        <v>7999.672238610292</v>
      </c>
      <c r="CY203" s="131">
        <v>7376</v>
      </c>
      <c r="CZ203" s="229">
        <v>2742</v>
      </c>
      <c r="DA203" s="229">
        <v>23316</v>
      </c>
      <c r="DB203" s="216">
        <v>-20574</v>
      </c>
      <c r="DC203" s="229">
        <v>11819</v>
      </c>
      <c r="DD203" s="229">
        <v>11757</v>
      </c>
      <c r="DE203" s="151"/>
      <c r="DG203" s="229">
        <v>10</v>
      </c>
      <c r="DH203" s="229">
        <v>133</v>
      </c>
      <c r="DI203" s="229">
        <v>3145</v>
      </c>
      <c r="DJ203" s="229">
        <v>1152</v>
      </c>
      <c r="DK203" s="229">
        <v>0</v>
      </c>
      <c r="DL203" s="229">
        <v>0</v>
      </c>
      <c r="DM203" s="229">
        <v>1993</v>
      </c>
      <c r="DN203" s="130">
        <v>0</v>
      </c>
      <c r="DO203" s="130">
        <v>-1500</v>
      </c>
      <c r="DP203" s="130">
        <v>0</v>
      </c>
      <c r="DQ203" s="130">
        <v>493</v>
      </c>
      <c r="DR203" s="130">
        <v>11124</v>
      </c>
      <c r="DS203" s="130">
        <v>3143</v>
      </c>
      <c r="DT203" s="167"/>
      <c r="DU203" s="183">
        <v>738</v>
      </c>
      <c r="DV203" s="183">
        <v>0</v>
      </c>
      <c r="DW203" s="180">
        <v>2074</v>
      </c>
      <c r="DX203" s="130">
        <v>11819</v>
      </c>
      <c r="DY203" s="229">
        <v>9527</v>
      </c>
      <c r="DZ203" s="229">
        <v>677</v>
      </c>
      <c r="EA203" s="229">
        <v>1615</v>
      </c>
      <c r="EB203" s="212">
        <v>20.75</v>
      </c>
      <c r="EC203" s="208"/>
      <c r="ED203" s="183">
        <v>29.845588235294201</v>
      </c>
      <c r="EE203" s="3">
        <v>13361</v>
      </c>
      <c r="EF203" s="183">
        <v>14441</v>
      </c>
      <c r="EG203" s="130">
        <v>13330</v>
      </c>
      <c r="EH203" s="130"/>
      <c r="EI203" s="130"/>
      <c r="EJ203" s="130"/>
      <c r="EK203" s="183">
        <v>-3206</v>
      </c>
      <c r="EL203" s="183">
        <v>802</v>
      </c>
      <c r="EM203" s="183">
        <v>83</v>
      </c>
      <c r="EN203" s="226">
        <v>-2590</v>
      </c>
      <c r="EO203" s="226">
        <v>623</v>
      </c>
      <c r="EP203" s="226">
        <v>95</v>
      </c>
      <c r="EQ203" s="226">
        <v>-1084</v>
      </c>
      <c r="ER203" s="230">
        <v>13</v>
      </c>
      <c r="ES203" s="230">
        <v>2</v>
      </c>
      <c r="ET203" s="3">
        <v>0</v>
      </c>
      <c r="EU203" s="211">
        <v>500</v>
      </c>
      <c r="EV203" s="183">
        <v>0</v>
      </c>
      <c r="EW203" s="183">
        <v>1950</v>
      </c>
      <c r="EX203" s="130">
        <v>0</v>
      </c>
      <c r="EY203" s="183">
        <v>-1500</v>
      </c>
      <c r="EZ203" s="3">
        <v>10500</v>
      </c>
      <c r="FA203" s="3">
        <v>0</v>
      </c>
      <c r="FB203" s="3">
        <v>10500</v>
      </c>
      <c r="FC203" s="3">
        <v>1512</v>
      </c>
      <c r="FD203" s="226">
        <v>12450</v>
      </c>
      <c r="FE203" s="183">
        <v>0</v>
      </c>
      <c r="FF203" s="183">
        <v>12450</v>
      </c>
      <c r="FG203" s="183">
        <v>1363</v>
      </c>
      <c r="FH203" s="230">
        <v>10950</v>
      </c>
      <c r="FI203" s="130">
        <v>0</v>
      </c>
      <c r="FJ203" s="130">
        <v>10950</v>
      </c>
      <c r="FK203" s="130">
        <v>1244</v>
      </c>
      <c r="FL203" s="29">
        <v>5967.8957406230129</v>
      </c>
      <c r="FM203" s="139">
        <v>6818.3295417614554</v>
      </c>
      <c r="FN203" s="139">
        <v>7187.1517535234352</v>
      </c>
      <c r="FO203" s="172">
        <f t="shared" si="9"/>
        <v>459.13253012048193</v>
      </c>
      <c r="FP203" s="170">
        <f t="shared" si="10"/>
        <v>150.48591613257355</v>
      </c>
      <c r="FR203" s="175"/>
      <c r="FS203" s="195"/>
      <c r="FV203" s="175">
        <v>501</v>
      </c>
      <c r="FW203" s="2">
        <f t="shared" si="11"/>
        <v>-501</v>
      </c>
      <c r="FZ203" s="186"/>
      <c r="GA203" s="2"/>
      <c r="GB203" s="2"/>
    </row>
    <row r="204" spans="1:184" ht="13" x14ac:dyDescent="0.3">
      <c r="A204" s="77">
        <v>626</v>
      </c>
      <c r="B204" s="75" t="s">
        <v>195</v>
      </c>
      <c r="C204" s="179">
        <v>5248</v>
      </c>
      <c r="D204" s="138"/>
      <c r="E204" s="142">
        <v>-0.22511848341232227</v>
      </c>
      <c r="F204" s="142">
        <v>68.323219725133711</v>
      </c>
      <c r="G204" s="183">
        <v>-3337.6524390243903</v>
      </c>
      <c r="H204" s="144"/>
      <c r="I204" s="186"/>
      <c r="K204" s="210">
        <v>51.978944897993394</v>
      </c>
      <c r="L204" s="143">
        <v>1897.1036585365855</v>
      </c>
      <c r="M204" s="146">
        <v>77.357373978201636</v>
      </c>
      <c r="N204" s="143">
        <v>8951.2195121951227</v>
      </c>
      <c r="O204" s="138">
        <v>9813</v>
      </c>
      <c r="P204" s="143">
        <v>5066</v>
      </c>
      <c r="Q204" s="184">
        <v>42629</v>
      </c>
      <c r="R204" s="184">
        <v>-37563</v>
      </c>
      <c r="S204" s="139">
        <v>20458</v>
      </c>
      <c r="T204" s="138">
        <v>16169</v>
      </c>
      <c r="U204" s="151"/>
      <c r="W204" s="183">
        <v>-116</v>
      </c>
      <c r="X204" s="183">
        <v>529</v>
      </c>
      <c r="Y204" s="184">
        <v>-523</v>
      </c>
      <c r="Z204" s="130">
        <v>1814</v>
      </c>
      <c r="AA204" s="130">
        <v>0</v>
      </c>
      <c r="AB204" s="130">
        <v>0</v>
      </c>
      <c r="AC204" s="184">
        <v>-2337</v>
      </c>
      <c r="AD204" s="183">
        <v>918</v>
      </c>
      <c r="AE204" s="183">
        <v>0</v>
      </c>
      <c r="AF204" s="183">
        <v>0</v>
      </c>
      <c r="AG204" s="183">
        <v>-1419</v>
      </c>
      <c r="AH204" s="183">
        <v>3976</v>
      </c>
      <c r="AI204" s="183">
        <v>-1542</v>
      </c>
      <c r="AJ204" s="167"/>
      <c r="AK204" s="183">
        <v>140</v>
      </c>
      <c r="AL204" s="183">
        <v>-1545</v>
      </c>
      <c r="AM204" s="180">
        <v>-984</v>
      </c>
      <c r="AN204" s="139">
        <v>20458</v>
      </c>
      <c r="AO204" s="138">
        <v>14331</v>
      </c>
      <c r="AP204" s="184">
        <v>4908</v>
      </c>
      <c r="AQ204" s="138">
        <v>1219</v>
      </c>
      <c r="AR204" s="109">
        <v>20.75</v>
      </c>
      <c r="AS204" s="144"/>
      <c r="AT204" s="139">
        <v>274</v>
      </c>
      <c r="AU204" s="228">
        <v>5131</v>
      </c>
      <c r="AV204" s="138"/>
      <c r="AW204" s="224">
        <v>-0.37718136959922977</v>
      </c>
      <c r="AX204" s="225">
        <v>82.536372213118824</v>
      </c>
      <c r="AY204" s="139">
        <v>-4254.9210680179303</v>
      </c>
      <c r="AZ204" s="144"/>
      <c r="BA204"/>
      <c r="BC204" s="189">
        <v>45.09272045768396</v>
      </c>
      <c r="BD204" s="183">
        <v>1933.9310076008576</v>
      </c>
      <c r="BE204" s="140">
        <v>76.350077996542851</v>
      </c>
      <c r="BF204" s="139">
        <v>9245.3712726564027</v>
      </c>
      <c r="BG204" s="184">
        <v>9897</v>
      </c>
      <c r="BH204" s="216">
        <v>3958</v>
      </c>
      <c r="BI204" s="216">
        <v>42481</v>
      </c>
      <c r="BJ204" s="216">
        <v>-38523</v>
      </c>
      <c r="BK204" s="216">
        <v>19734</v>
      </c>
      <c r="BL204" s="216">
        <v>16586</v>
      </c>
      <c r="BM204" s="151"/>
      <c r="BO204" s="216">
        <v>-122</v>
      </c>
      <c r="BP204" s="216">
        <v>610</v>
      </c>
      <c r="BQ204" s="216">
        <v>-1715</v>
      </c>
      <c r="BR204" s="216">
        <v>1863</v>
      </c>
      <c r="BS204" s="216">
        <v>0</v>
      </c>
      <c r="BT204" s="216">
        <v>0</v>
      </c>
      <c r="BU204" s="216">
        <v>-3578</v>
      </c>
      <c r="BV204" s="183">
        <v>347</v>
      </c>
      <c r="BW204" s="183">
        <v>0</v>
      </c>
      <c r="BX204" s="183">
        <v>0</v>
      </c>
      <c r="BY204" s="183">
        <v>-3231</v>
      </c>
      <c r="BZ204" s="183">
        <v>745</v>
      </c>
      <c r="CA204" s="183">
        <v>-1717</v>
      </c>
      <c r="CB204" s="167"/>
      <c r="CC204" s="183">
        <v>-474</v>
      </c>
      <c r="CD204" s="183">
        <v>-1687</v>
      </c>
      <c r="CE204" s="180">
        <v>-4332</v>
      </c>
      <c r="CF204" s="139">
        <v>19734</v>
      </c>
      <c r="CG204" s="216">
        <v>14334</v>
      </c>
      <c r="CH204" s="216">
        <v>4151</v>
      </c>
      <c r="CI204" s="216">
        <v>1249</v>
      </c>
      <c r="CJ204" s="212">
        <v>20.75</v>
      </c>
      <c r="CK204" s="144"/>
      <c r="CL204" s="130">
        <v>281</v>
      </c>
      <c r="CM204" s="228">
        <v>5033</v>
      </c>
      <c r="CN204" s="138"/>
      <c r="CO204" s="142">
        <v>1.100095785440613</v>
      </c>
      <c r="CP204" s="142">
        <v>74.423856013814174</v>
      </c>
      <c r="CQ204" s="183">
        <v>-4264.2559109874828</v>
      </c>
      <c r="CR204" s="144"/>
      <c r="CS204"/>
      <c r="CU204" s="232">
        <v>44.905352480417754</v>
      </c>
      <c r="CV204" s="143">
        <v>2050.6656069938408</v>
      </c>
      <c r="CW204" s="146">
        <v>79.22700792866307</v>
      </c>
      <c r="CX204" s="143">
        <v>9447.4468507848196</v>
      </c>
      <c r="CY204" s="131">
        <v>9665</v>
      </c>
      <c r="CZ204" s="229">
        <v>3993</v>
      </c>
      <c r="DA204" s="229">
        <v>42760</v>
      </c>
      <c r="DB204" s="216">
        <v>-38767</v>
      </c>
      <c r="DC204" s="229">
        <v>21717</v>
      </c>
      <c r="DD204" s="229">
        <v>19461</v>
      </c>
      <c r="DE204" s="151"/>
      <c r="DG204" s="229">
        <v>-151</v>
      </c>
      <c r="DH204" s="229">
        <v>-134</v>
      </c>
      <c r="DI204" s="229">
        <v>2126</v>
      </c>
      <c r="DJ204" s="229">
        <v>1839</v>
      </c>
      <c r="DK204" s="229">
        <v>0</v>
      </c>
      <c r="DL204" s="229">
        <v>198</v>
      </c>
      <c r="DM204" s="229">
        <v>89</v>
      </c>
      <c r="DN204" s="130">
        <v>338</v>
      </c>
      <c r="DO204" s="130">
        <v>0</v>
      </c>
      <c r="DP204" s="130">
        <v>0</v>
      </c>
      <c r="DQ204" s="130">
        <v>427</v>
      </c>
      <c r="DR204" s="130">
        <v>1172</v>
      </c>
      <c r="DS204" s="130">
        <v>1895</v>
      </c>
      <c r="DT204" s="167"/>
      <c r="DU204" s="183">
        <v>-346</v>
      </c>
      <c r="DV204" s="183">
        <v>-1917</v>
      </c>
      <c r="DW204" s="180">
        <v>391</v>
      </c>
      <c r="DX204" s="130">
        <v>21717</v>
      </c>
      <c r="DY204" s="229">
        <v>15799</v>
      </c>
      <c r="DZ204" s="229">
        <v>4733</v>
      </c>
      <c r="EA204" s="229">
        <v>1185</v>
      </c>
      <c r="EB204" s="212">
        <v>21.75</v>
      </c>
      <c r="EC204" s="208"/>
      <c r="ED204" s="183">
        <v>249.44852941176401</v>
      </c>
      <c r="EE204" s="3">
        <v>29595</v>
      </c>
      <c r="EF204" s="183">
        <v>29825</v>
      </c>
      <c r="EG204" s="130">
        <v>30170</v>
      </c>
      <c r="EH204" s="130"/>
      <c r="EI204" s="130"/>
      <c r="EJ204" s="130"/>
      <c r="EK204" s="183">
        <v>-2109</v>
      </c>
      <c r="EL204" s="183">
        <v>240</v>
      </c>
      <c r="EM204" s="183">
        <v>2427</v>
      </c>
      <c r="EN204" s="226">
        <v>-2623</v>
      </c>
      <c r="EO204" s="226">
        <v>2</v>
      </c>
      <c r="EP204" s="226">
        <v>6</v>
      </c>
      <c r="EQ204" s="226">
        <v>-2091</v>
      </c>
      <c r="ER204" s="230">
        <v>331</v>
      </c>
      <c r="ES204" s="230">
        <v>256</v>
      </c>
      <c r="ET204" s="3">
        <v>3600</v>
      </c>
      <c r="EU204" s="211">
        <v>400</v>
      </c>
      <c r="EV204" s="183">
        <v>4700</v>
      </c>
      <c r="EW204" s="183">
        <v>1000</v>
      </c>
      <c r="EX204" s="130">
        <v>6070</v>
      </c>
      <c r="EY204" s="183">
        <v>-3000</v>
      </c>
      <c r="EZ204" s="3">
        <v>25086</v>
      </c>
      <c r="FA204" s="3">
        <v>21555</v>
      </c>
      <c r="FB204" s="3">
        <v>3531</v>
      </c>
      <c r="FC204" s="3">
        <v>4130</v>
      </c>
      <c r="FD204" s="226">
        <v>29099</v>
      </c>
      <c r="FE204" s="183">
        <v>24334</v>
      </c>
      <c r="FF204" s="183">
        <v>4765</v>
      </c>
      <c r="FG204" s="183">
        <v>4177</v>
      </c>
      <c r="FH204" s="230">
        <v>30252</v>
      </c>
      <c r="FI204" s="130">
        <v>28184</v>
      </c>
      <c r="FJ204" s="130">
        <v>2068</v>
      </c>
      <c r="FK204" s="130">
        <v>4223</v>
      </c>
      <c r="FL204" s="29">
        <v>8063.8338414634154</v>
      </c>
      <c r="FM204" s="139">
        <v>9117.5209510816603</v>
      </c>
      <c r="FN204" s="139">
        <v>10030.995430160938</v>
      </c>
      <c r="FO204" s="172">
        <f t="shared" si="9"/>
        <v>726.39080459770116</v>
      </c>
      <c r="FP204" s="170">
        <f t="shared" si="10"/>
        <v>144.32561188112481</v>
      </c>
      <c r="FR204" s="175"/>
      <c r="FS204" s="195"/>
      <c r="FV204" s="175">
        <v>594</v>
      </c>
      <c r="FW204" s="2">
        <f t="shared" si="11"/>
        <v>-594</v>
      </c>
      <c r="FZ204" s="186"/>
      <c r="GA204" s="2"/>
      <c r="GB204" s="2"/>
    </row>
    <row r="205" spans="1:184" ht="13" x14ac:dyDescent="0.3">
      <c r="A205" s="77">
        <v>630</v>
      </c>
      <c r="B205" s="75" t="s">
        <v>196</v>
      </c>
      <c r="C205" s="179">
        <v>1557</v>
      </c>
      <c r="D205" s="138"/>
      <c r="E205" s="142">
        <v>2.116504854368932</v>
      </c>
      <c r="F205" s="142">
        <v>38.503357850975377</v>
      </c>
      <c r="G205" s="183">
        <v>-2473.988439306358</v>
      </c>
      <c r="H205" s="144"/>
      <c r="I205" s="186"/>
      <c r="K205" s="210">
        <v>68.653535679690023</v>
      </c>
      <c r="L205" s="143">
        <v>208.09248554913296</v>
      </c>
      <c r="M205" s="146">
        <v>8.5318519587331352</v>
      </c>
      <c r="N205" s="143">
        <v>8902.3763648041113</v>
      </c>
      <c r="O205" s="138">
        <v>4795</v>
      </c>
      <c r="P205" s="143">
        <v>2226</v>
      </c>
      <c r="Q205" s="184">
        <v>11659</v>
      </c>
      <c r="R205" s="184">
        <v>-9433</v>
      </c>
      <c r="S205" s="139">
        <v>4665</v>
      </c>
      <c r="T205" s="138">
        <v>5617</v>
      </c>
      <c r="U205" s="151"/>
      <c r="W205" s="183">
        <v>-8</v>
      </c>
      <c r="X205" s="183">
        <v>15</v>
      </c>
      <c r="Y205" s="184">
        <v>856</v>
      </c>
      <c r="Z205" s="130">
        <v>463</v>
      </c>
      <c r="AA205" s="130">
        <v>0</v>
      </c>
      <c r="AB205" s="130">
        <v>0</v>
      </c>
      <c r="AC205" s="184">
        <v>393</v>
      </c>
      <c r="AD205" s="183">
        <v>72</v>
      </c>
      <c r="AE205" s="183">
        <v>-200</v>
      </c>
      <c r="AF205" s="183">
        <v>0</v>
      </c>
      <c r="AG205" s="183">
        <v>265</v>
      </c>
      <c r="AH205" s="183">
        <v>4009</v>
      </c>
      <c r="AI205" s="183">
        <v>788</v>
      </c>
      <c r="AJ205" s="167"/>
      <c r="AK205" s="183">
        <v>-65</v>
      </c>
      <c r="AL205" s="183">
        <v>-396</v>
      </c>
      <c r="AM205" s="180">
        <v>-617</v>
      </c>
      <c r="AN205" s="139">
        <v>4665</v>
      </c>
      <c r="AO205" s="138">
        <v>3562</v>
      </c>
      <c r="AP205" s="184">
        <v>622</v>
      </c>
      <c r="AQ205" s="138">
        <v>481</v>
      </c>
      <c r="AR205" s="109">
        <v>19.75</v>
      </c>
      <c r="AS205" s="144"/>
      <c r="AT205" s="139">
        <v>30</v>
      </c>
      <c r="AU205" s="228">
        <v>1578</v>
      </c>
      <c r="AV205" s="138"/>
      <c r="AW205" s="224">
        <v>0.64480874316939896</v>
      </c>
      <c r="AX205" s="225">
        <v>44.033586307120942</v>
      </c>
      <c r="AY205" s="139">
        <v>-2987.3257287705956</v>
      </c>
      <c r="AZ205" s="144"/>
      <c r="BA205"/>
      <c r="BC205" s="189">
        <v>65.916037677000816</v>
      </c>
      <c r="BD205" s="183">
        <v>282.63624841571612</v>
      </c>
      <c r="BE205" s="140">
        <v>11.66201017264847</v>
      </c>
      <c r="BF205" s="139">
        <v>8846.0076045627375</v>
      </c>
      <c r="BG205" s="184">
        <v>3231</v>
      </c>
      <c r="BH205" s="216">
        <v>2074</v>
      </c>
      <c r="BI205" s="216">
        <v>11996</v>
      </c>
      <c r="BJ205" s="216">
        <v>-9922</v>
      </c>
      <c r="BK205" s="216">
        <v>4771</v>
      </c>
      <c r="BL205" s="216">
        <v>5541</v>
      </c>
      <c r="BM205" s="151"/>
      <c r="BO205" s="216">
        <v>-3</v>
      </c>
      <c r="BP205" s="216">
        <v>12</v>
      </c>
      <c r="BQ205" s="216">
        <v>399</v>
      </c>
      <c r="BR205" s="216">
        <v>464</v>
      </c>
      <c r="BS205" s="216">
        <v>0</v>
      </c>
      <c r="BT205" s="216">
        <v>0</v>
      </c>
      <c r="BU205" s="216">
        <v>-65</v>
      </c>
      <c r="BV205" s="183">
        <v>59</v>
      </c>
      <c r="BW205" s="183">
        <v>0</v>
      </c>
      <c r="BX205" s="183">
        <v>0</v>
      </c>
      <c r="BY205" s="183">
        <v>-6</v>
      </c>
      <c r="BZ205" s="183">
        <v>4004</v>
      </c>
      <c r="CA205" s="183">
        <v>382</v>
      </c>
      <c r="CB205" s="167"/>
      <c r="CC205" s="183">
        <v>346</v>
      </c>
      <c r="CD205" s="183">
        <v>-446</v>
      </c>
      <c r="CE205" s="180">
        <v>-854</v>
      </c>
      <c r="CF205" s="139">
        <v>4771</v>
      </c>
      <c r="CG205" s="216">
        <v>3664</v>
      </c>
      <c r="CH205" s="216">
        <v>604</v>
      </c>
      <c r="CI205" s="216">
        <v>503</v>
      </c>
      <c r="CJ205" s="212">
        <v>19.75</v>
      </c>
      <c r="CK205" s="144"/>
      <c r="CL205" s="130">
        <v>109</v>
      </c>
      <c r="CM205" s="228">
        <v>1593</v>
      </c>
      <c r="CN205" s="138"/>
      <c r="CO205" s="142">
        <v>1.0292887029288702</v>
      </c>
      <c r="CP205" s="142">
        <v>43.526952366731372</v>
      </c>
      <c r="CQ205" s="183">
        <v>-2923.4149403640931</v>
      </c>
      <c r="CR205" s="144"/>
      <c r="CS205"/>
      <c r="CU205" s="232">
        <v>64.241978937056089</v>
      </c>
      <c r="CV205" s="143">
        <v>447.58317639673572</v>
      </c>
      <c r="CW205" s="146">
        <v>18.583618966009713</v>
      </c>
      <c r="CX205" s="143">
        <v>8790.9604519774002</v>
      </c>
      <c r="CY205" s="131">
        <v>3179</v>
      </c>
      <c r="CZ205" s="229">
        <v>2024</v>
      </c>
      <c r="DA205" s="229">
        <v>12924</v>
      </c>
      <c r="DB205" s="216">
        <v>-10900</v>
      </c>
      <c r="DC205" s="229">
        <v>5028</v>
      </c>
      <c r="DD205" s="229">
        <v>6342</v>
      </c>
      <c r="DE205" s="151"/>
      <c r="DG205" s="229">
        <v>-2</v>
      </c>
      <c r="DH205" s="229">
        <v>11</v>
      </c>
      <c r="DI205" s="229">
        <v>479</v>
      </c>
      <c r="DJ205" s="229">
        <v>487</v>
      </c>
      <c r="DK205" s="229">
        <v>0</v>
      </c>
      <c r="DL205" s="229">
        <v>0</v>
      </c>
      <c r="DM205" s="229">
        <v>-8</v>
      </c>
      <c r="DN205" s="130">
        <v>-608</v>
      </c>
      <c r="DO205" s="130">
        <v>700</v>
      </c>
      <c r="DP205" s="130">
        <v>0</v>
      </c>
      <c r="DQ205" s="130">
        <v>84</v>
      </c>
      <c r="DR205" s="130">
        <v>4021</v>
      </c>
      <c r="DS205" s="130">
        <v>460</v>
      </c>
      <c r="DT205" s="167"/>
      <c r="DU205" s="183">
        <v>-165</v>
      </c>
      <c r="DV205" s="183">
        <v>-465</v>
      </c>
      <c r="DW205" s="180">
        <v>96</v>
      </c>
      <c r="DX205" s="130">
        <v>5028</v>
      </c>
      <c r="DY205" s="229">
        <v>3943</v>
      </c>
      <c r="DZ205" s="229">
        <v>621</v>
      </c>
      <c r="EA205" s="229">
        <v>464</v>
      </c>
      <c r="EB205" s="212">
        <v>19.75</v>
      </c>
      <c r="EC205" s="208"/>
      <c r="ED205" s="183">
        <v>275.63970588235298</v>
      </c>
      <c r="EE205" s="3">
        <v>5282</v>
      </c>
      <c r="EF205" s="183">
        <v>7323</v>
      </c>
      <c r="EG205" s="130">
        <v>8229</v>
      </c>
      <c r="EH205" s="130"/>
      <c r="EI205" s="130"/>
      <c r="EJ205" s="130"/>
      <c r="EK205" s="183">
        <v>-1630</v>
      </c>
      <c r="EL205" s="183">
        <v>126</v>
      </c>
      <c r="EM205" s="183">
        <v>99</v>
      </c>
      <c r="EN205" s="226">
        <v>-1503</v>
      </c>
      <c r="EO205" s="226">
        <v>204</v>
      </c>
      <c r="EP205" s="226">
        <v>63</v>
      </c>
      <c r="EQ205" s="226">
        <v>-600</v>
      </c>
      <c r="ER205" s="230">
        <v>207</v>
      </c>
      <c r="ES205" s="230">
        <v>29</v>
      </c>
      <c r="ET205" s="3">
        <v>0</v>
      </c>
      <c r="EU205" s="211">
        <v>600</v>
      </c>
      <c r="EV205" s="183">
        <v>1000</v>
      </c>
      <c r="EW205" s="183">
        <v>800</v>
      </c>
      <c r="EX205" s="130">
        <v>0</v>
      </c>
      <c r="EY205" s="183">
        <v>200</v>
      </c>
      <c r="EZ205" s="3">
        <v>3303</v>
      </c>
      <c r="FA205" s="3">
        <v>907</v>
      </c>
      <c r="FB205" s="3">
        <v>2396</v>
      </c>
      <c r="FC205" s="3">
        <v>163</v>
      </c>
      <c r="FD205" s="226">
        <v>4657</v>
      </c>
      <c r="FE205" s="183">
        <v>1392</v>
      </c>
      <c r="FF205" s="183">
        <v>3265</v>
      </c>
      <c r="FG205" s="183">
        <v>148</v>
      </c>
      <c r="FH205" s="230">
        <v>4391</v>
      </c>
      <c r="FI205" s="130">
        <v>958</v>
      </c>
      <c r="FJ205" s="130">
        <v>3433</v>
      </c>
      <c r="FK205" s="130">
        <v>132</v>
      </c>
      <c r="FL205" s="29">
        <v>5232.4983943481047</v>
      </c>
      <c r="FM205" s="139">
        <v>6273.1305449936626</v>
      </c>
      <c r="FN205" s="139">
        <v>6499.6861268047705</v>
      </c>
      <c r="FO205" s="172">
        <f t="shared" si="9"/>
        <v>199.64556962025316</v>
      </c>
      <c r="FP205" s="170">
        <f t="shared" si="10"/>
        <v>125.32678570009614</v>
      </c>
      <c r="FR205" s="175"/>
      <c r="FS205" s="195"/>
      <c r="FV205" s="175">
        <v>502</v>
      </c>
      <c r="FW205" s="2">
        <f t="shared" si="11"/>
        <v>-502</v>
      </c>
      <c r="FZ205" s="186"/>
      <c r="GA205" s="2"/>
      <c r="GB205" s="2"/>
    </row>
    <row r="206" spans="1:184" ht="13" x14ac:dyDescent="0.3">
      <c r="A206" s="77">
        <v>631</v>
      </c>
      <c r="B206" s="75" t="s">
        <v>197</v>
      </c>
      <c r="C206" s="179">
        <v>2028</v>
      </c>
      <c r="D206" s="138"/>
      <c r="E206" s="142">
        <v>3.1734693877551021</v>
      </c>
      <c r="F206" s="142">
        <v>36.831338081527505</v>
      </c>
      <c r="G206" s="183">
        <v>-976.33136094674558</v>
      </c>
      <c r="H206" s="144"/>
      <c r="I206" s="186"/>
      <c r="K206" s="210">
        <v>59.603782814283385</v>
      </c>
      <c r="L206" s="143">
        <v>1181.9526627218934</v>
      </c>
      <c r="M206" s="146">
        <v>67.114528996624728</v>
      </c>
      <c r="N206" s="143">
        <v>6428.0078895463512</v>
      </c>
      <c r="O206" s="138">
        <v>2522</v>
      </c>
      <c r="P206" s="143">
        <v>1194</v>
      </c>
      <c r="Q206" s="184">
        <v>11958</v>
      </c>
      <c r="R206" s="184">
        <v>-10764</v>
      </c>
      <c r="S206" s="139">
        <v>8372</v>
      </c>
      <c r="T206" s="138">
        <v>3632</v>
      </c>
      <c r="U206" s="151"/>
      <c r="W206" s="183">
        <v>-10</v>
      </c>
      <c r="X206" s="183">
        <v>2</v>
      </c>
      <c r="Y206" s="184">
        <v>1232</v>
      </c>
      <c r="Z206" s="130">
        <v>619</v>
      </c>
      <c r="AA206" s="130">
        <v>0</v>
      </c>
      <c r="AB206" s="130">
        <v>0</v>
      </c>
      <c r="AC206" s="184">
        <v>613</v>
      </c>
      <c r="AD206" s="184">
        <v>23</v>
      </c>
      <c r="AE206" s="183">
        <v>0</v>
      </c>
      <c r="AF206" s="183">
        <v>0</v>
      </c>
      <c r="AG206" s="183">
        <v>636</v>
      </c>
      <c r="AH206" s="183">
        <v>991</v>
      </c>
      <c r="AI206" s="183">
        <v>1193</v>
      </c>
      <c r="AJ206" s="167"/>
      <c r="AK206" s="183">
        <v>50</v>
      </c>
      <c r="AL206" s="183">
        <v>-380</v>
      </c>
      <c r="AM206" s="180">
        <v>695</v>
      </c>
      <c r="AN206" s="139">
        <v>8372</v>
      </c>
      <c r="AO206" s="138">
        <v>7202</v>
      </c>
      <c r="AP206" s="184">
        <v>308</v>
      </c>
      <c r="AQ206" s="138">
        <v>862</v>
      </c>
      <c r="AR206" s="109">
        <v>21.75</v>
      </c>
      <c r="AS206" s="144"/>
      <c r="AT206" s="139">
        <v>20</v>
      </c>
      <c r="AU206" s="228">
        <v>2004</v>
      </c>
      <c r="AV206" s="138"/>
      <c r="AW206" s="224">
        <v>2.8274534958306607</v>
      </c>
      <c r="AX206" s="225">
        <v>37.594565385209201</v>
      </c>
      <c r="AY206" s="139">
        <v>-1025.9481037924152</v>
      </c>
      <c r="AZ206" s="144"/>
      <c r="BA206"/>
      <c r="BC206" s="189">
        <v>61.441665372067732</v>
      </c>
      <c r="BD206" s="183">
        <v>943.61277445109783</v>
      </c>
      <c r="BE206" s="140">
        <v>51.989680626694785</v>
      </c>
      <c r="BF206" s="139">
        <v>6624.7504990019961</v>
      </c>
      <c r="BG206" s="184">
        <v>2566</v>
      </c>
      <c r="BH206" s="216">
        <v>1152</v>
      </c>
      <c r="BI206" s="216">
        <v>11853</v>
      </c>
      <c r="BJ206" s="216">
        <v>-10701</v>
      </c>
      <c r="BK206" s="216">
        <v>8361</v>
      </c>
      <c r="BL206" s="216">
        <v>3441</v>
      </c>
      <c r="BM206" s="151"/>
      <c r="BO206" s="216">
        <v>-13</v>
      </c>
      <c r="BP206" s="216">
        <v>0</v>
      </c>
      <c r="BQ206" s="216">
        <v>1088</v>
      </c>
      <c r="BR206" s="216">
        <v>489</v>
      </c>
      <c r="BS206" s="216">
        <v>0</v>
      </c>
      <c r="BT206" s="216">
        <v>0</v>
      </c>
      <c r="BU206" s="216">
        <v>599</v>
      </c>
      <c r="BV206" s="184">
        <v>23</v>
      </c>
      <c r="BW206" s="183">
        <v>0</v>
      </c>
      <c r="BX206" s="183">
        <v>0</v>
      </c>
      <c r="BY206" s="183">
        <v>622</v>
      </c>
      <c r="BZ206" s="183">
        <v>1613</v>
      </c>
      <c r="CA206" s="183">
        <v>1087</v>
      </c>
      <c r="CB206" s="167"/>
      <c r="CC206" s="183">
        <v>-439</v>
      </c>
      <c r="CD206" s="183">
        <v>-250</v>
      </c>
      <c r="CE206" s="180">
        <v>-66</v>
      </c>
      <c r="CF206" s="139">
        <v>8361</v>
      </c>
      <c r="CG206" s="216">
        <v>7175</v>
      </c>
      <c r="CH206" s="216">
        <v>320</v>
      </c>
      <c r="CI206" s="216">
        <v>866</v>
      </c>
      <c r="CJ206" s="212">
        <v>21.75</v>
      </c>
      <c r="CK206" s="144"/>
      <c r="CL206" s="130">
        <v>24</v>
      </c>
      <c r="CM206" s="228">
        <v>1994</v>
      </c>
      <c r="CN206" s="138"/>
      <c r="CO206" s="142">
        <v>6.1984435797665371</v>
      </c>
      <c r="CP206" s="142">
        <v>32.277416050918134</v>
      </c>
      <c r="CQ206" s="183">
        <v>-344.53360080240725</v>
      </c>
      <c r="CR206" s="144"/>
      <c r="CS206"/>
      <c r="CU206" s="232">
        <v>66.537947423139755</v>
      </c>
      <c r="CV206" s="143">
        <v>1671.013039117352</v>
      </c>
      <c r="CW206" s="146">
        <v>96.568207082737814</v>
      </c>
      <c r="CX206" s="143">
        <v>6315.9478435305919</v>
      </c>
      <c r="CY206" s="131">
        <v>2631</v>
      </c>
      <c r="CZ206" s="229">
        <v>980</v>
      </c>
      <c r="DA206" s="229">
        <v>12077</v>
      </c>
      <c r="DB206" s="216">
        <v>-11097</v>
      </c>
      <c r="DC206" s="229">
        <v>8622</v>
      </c>
      <c r="DD206" s="229">
        <v>4067</v>
      </c>
      <c r="DE206" s="151"/>
      <c r="DG206" s="229">
        <v>-7</v>
      </c>
      <c r="DH206" s="229">
        <v>1</v>
      </c>
      <c r="DI206" s="229">
        <v>1586</v>
      </c>
      <c r="DJ206" s="229">
        <v>536</v>
      </c>
      <c r="DK206" s="229">
        <v>0</v>
      </c>
      <c r="DL206" s="229">
        <v>-1</v>
      </c>
      <c r="DM206" s="229">
        <v>1051</v>
      </c>
      <c r="DN206" s="131">
        <v>23</v>
      </c>
      <c r="DO206" s="130">
        <v>0</v>
      </c>
      <c r="DP206" s="130">
        <v>0</v>
      </c>
      <c r="DQ206" s="130">
        <v>1074</v>
      </c>
      <c r="DR206" s="130">
        <v>2688</v>
      </c>
      <c r="DS206" s="130">
        <v>1587</v>
      </c>
      <c r="DT206" s="167"/>
      <c r="DU206" s="183">
        <v>530</v>
      </c>
      <c r="DV206" s="183">
        <v>-250</v>
      </c>
      <c r="DW206" s="180">
        <v>1328</v>
      </c>
      <c r="DX206" s="130">
        <v>8622</v>
      </c>
      <c r="DY206" s="229">
        <v>7594</v>
      </c>
      <c r="DZ206" s="229">
        <v>319</v>
      </c>
      <c r="EA206" s="229">
        <v>709</v>
      </c>
      <c r="EB206" s="212">
        <v>21.75</v>
      </c>
      <c r="EC206" s="208"/>
      <c r="ED206" s="183">
        <v>89.279411764705898</v>
      </c>
      <c r="EE206" s="3">
        <v>8489</v>
      </c>
      <c r="EF206" s="183">
        <v>8288</v>
      </c>
      <c r="EG206" s="130">
        <v>8249</v>
      </c>
      <c r="EH206" s="130"/>
      <c r="EI206" s="130"/>
      <c r="EJ206" s="130"/>
      <c r="EK206" s="183">
        <v>-686</v>
      </c>
      <c r="EL206" s="183">
        <v>146</v>
      </c>
      <c r="EM206" s="183">
        <v>42</v>
      </c>
      <c r="EN206" s="226">
        <v>-1154</v>
      </c>
      <c r="EO206" s="226">
        <v>0</v>
      </c>
      <c r="EP206" s="226">
        <v>1</v>
      </c>
      <c r="EQ206" s="226">
        <v>-259</v>
      </c>
      <c r="ER206" s="230">
        <v>0</v>
      </c>
      <c r="ES206" s="230">
        <v>0</v>
      </c>
      <c r="ET206" s="3">
        <v>0</v>
      </c>
      <c r="EU206" s="211">
        <v>0</v>
      </c>
      <c r="EV206" s="183">
        <v>0</v>
      </c>
      <c r="EW206" s="183">
        <v>0</v>
      </c>
      <c r="EX206" s="130">
        <v>0</v>
      </c>
      <c r="EY206" s="183">
        <v>0</v>
      </c>
      <c r="EZ206" s="3">
        <v>2575</v>
      </c>
      <c r="FA206" s="3">
        <v>1325</v>
      </c>
      <c r="FB206" s="3">
        <v>1250</v>
      </c>
      <c r="FC206" s="3">
        <v>0</v>
      </c>
      <c r="FD206" s="226">
        <v>2325</v>
      </c>
      <c r="FE206" s="183">
        <v>1075</v>
      </c>
      <c r="FF206" s="183">
        <v>1250</v>
      </c>
      <c r="FG206" s="183">
        <v>0</v>
      </c>
      <c r="FH206" s="230">
        <v>2075</v>
      </c>
      <c r="FI206" s="130">
        <v>825</v>
      </c>
      <c r="FJ206" s="130">
        <v>1250</v>
      </c>
      <c r="FK206" s="130">
        <v>0</v>
      </c>
      <c r="FL206" s="29">
        <v>1817.0611439842207</v>
      </c>
      <c r="FM206" s="139">
        <v>1687.6247504990022</v>
      </c>
      <c r="FN206" s="139">
        <v>1515.5466399197592</v>
      </c>
      <c r="FO206" s="172">
        <f t="shared" si="9"/>
        <v>349.14942528735634</v>
      </c>
      <c r="FP206" s="170">
        <f t="shared" si="10"/>
        <v>175.10001268172334</v>
      </c>
      <c r="FR206" s="175"/>
      <c r="FS206" s="195"/>
      <c r="FV206" s="175">
        <v>55</v>
      </c>
      <c r="FW206" s="2">
        <f t="shared" si="11"/>
        <v>-55</v>
      </c>
      <c r="FZ206" s="186"/>
      <c r="GA206" s="2"/>
      <c r="GB206" s="2"/>
    </row>
    <row r="207" spans="1:184" ht="13" x14ac:dyDescent="0.3">
      <c r="A207" s="77">
        <v>635</v>
      </c>
      <c r="B207" s="75" t="s">
        <v>198</v>
      </c>
      <c r="C207" s="179">
        <v>6499</v>
      </c>
      <c r="D207" s="138"/>
      <c r="E207" s="142">
        <v>0.34188911704312114</v>
      </c>
      <c r="F207" s="142">
        <v>45.690683799908214</v>
      </c>
      <c r="G207" s="183">
        <v>-2105.8624403754425</v>
      </c>
      <c r="H207" s="144"/>
      <c r="I207" s="186"/>
      <c r="K207" s="210">
        <v>58.402689184537188</v>
      </c>
      <c r="L207" s="143">
        <v>807.50884751500234</v>
      </c>
      <c r="M207" s="146">
        <v>38.69033913025914</v>
      </c>
      <c r="N207" s="143">
        <v>7617.9412217264198</v>
      </c>
      <c r="O207" s="138">
        <v>10841</v>
      </c>
      <c r="P207" s="143">
        <v>4836</v>
      </c>
      <c r="Q207" s="184">
        <v>43648</v>
      </c>
      <c r="R207" s="184">
        <v>-38812</v>
      </c>
      <c r="S207" s="139">
        <v>22205</v>
      </c>
      <c r="T207" s="138">
        <v>16539</v>
      </c>
      <c r="U207" s="151"/>
      <c r="W207" s="183">
        <v>-84</v>
      </c>
      <c r="X207" s="183">
        <v>399</v>
      </c>
      <c r="Y207" s="184">
        <v>247</v>
      </c>
      <c r="Z207" s="130">
        <v>2398</v>
      </c>
      <c r="AA207" s="130">
        <v>0</v>
      </c>
      <c r="AB207" s="130">
        <v>0</v>
      </c>
      <c r="AC207" s="184">
        <v>-2151</v>
      </c>
      <c r="AD207" s="184">
        <v>-340</v>
      </c>
      <c r="AE207" s="184">
        <v>1000</v>
      </c>
      <c r="AF207" s="183">
        <v>0</v>
      </c>
      <c r="AG207" s="183">
        <v>-1491</v>
      </c>
      <c r="AH207" s="183">
        <v>9306</v>
      </c>
      <c r="AI207" s="183">
        <v>-151</v>
      </c>
      <c r="AJ207" s="167"/>
      <c r="AK207" s="183">
        <v>389</v>
      </c>
      <c r="AL207" s="183">
        <v>-888</v>
      </c>
      <c r="AM207" s="180">
        <v>-4503</v>
      </c>
      <c r="AN207" s="139">
        <v>22205</v>
      </c>
      <c r="AO207" s="138">
        <v>18847</v>
      </c>
      <c r="AP207" s="184">
        <v>1192</v>
      </c>
      <c r="AQ207" s="138">
        <v>2166</v>
      </c>
      <c r="AR207" s="109">
        <v>21</v>
      </c>
      <c r="AS207" s="144"/>
      <c r="AT207" s="139">
        <v>238</v>
      </c>
      <c r="AU207" s="228">
        <v>6435</v>
      </c>
      <c r="AV207" s="138"/>
      <c r="AW207" s="224">
        <v>1.2587874498702525</v>
      </c>
      <c r="AX207" s="225">
        <v>38.205249096338207</v>
      </c>
      <c r="AY207" s="139">
        <v>-2273.6596736596734</v>
      </c>
      <c r="AZ207" s="144"/>
      <c r="BA207"/>
      <c r="BC207" s="189">
        <v>61.536780931157281</v>
      </c>
      <c r="BD207" s="183">
        <v>178.24397824397826</v>
      </c>
      <c r="BE207" s="140">
        <v>8.9586364803560734</v>
      </c>
      <c r="BF207" s="139">
        <v>7262.1600621600619</v>
      </c>
      <c r="BG207" s="184">
        <v>10764</v>
      </c>
      <c r="BH207" s="216">
        <v>4885</v>
      </c>
      <c r="BI207" s="216">
        <v>42738</v>
      </c>
      <c r="BJ207" s="216">
        <v>-37853</v>
      </c>
      <c r="BK207" s="216">
        <v>23392</v>
      </c>
      <c r="BL207" s="216">
        <v>16264</v>
      </c>
      <c r="BM207" s="151"/>
      <c r="BO207" s="216">
        <v>-123</v>
      </c>
      <c r="BP207" s="216">
        <v>196</v>
      </c>
      <c r="BQ207" s="216">
        <v>1876</v>
      </c>
      <c r="BR207" s="216">
        <v>2551</v>
      </c>
      <c r="BS207" s="216">
        <v>0</v>
      </c>
      <c r="BT207" s="216">
        <v>0</v>
      </c>
      <c r="BU207" s="216">
        <v>-675</v>
      </c>
      <c r="BV207" s="184">
        <v>794</v>
      </c>
      <c r="BW207" s="184">
        <v>0</v>
      </c>
      <c r="BX207" s="183">
        <v>0</v>
      </c>
      <c r="BY207" s="183">
        <v>119</v>
      </c>
      <c r="BZ207" s="183">
        <v>9425</v>
      </c>
      <c r="CA207" s="183">
        <v>1605</v>
      </c>
      <c r="CB207" s="167"/>
      <c r="CC207" s="183">
        <v>-406</v>
      </c>
      <c r="CD207" s="183">
        <v>-1049</v>
      </c>
      <c r="CE207" s="180">
        <v>-864</v>
      </c>
      <c r="CF207" s="139">
        <v>23392</v>
      </c>
      <c r="CG207" s="216">
        <v>19815</v>
      </c>
      <c r="CH207" s="216">
        <v>1217</v>
      </c>
      <c r="CI207" s="216">
        <v>2360</v>
      </c>
      <c r="CJ207" s="212">
        <v>21.5</v>
      </c>
      <c r="CK207" s="144"/>
      <c r="CL207" s="130">
        <v>91</v>
      </c>
      <c r="CM207" s="228">
        <v>6415</v>
      </c>
      <c r="CN207" s="138"/>
      <c r="CO207" s="142">
        <v>4.6930693069306928</v>
      </c>
      <c r="CP207" s="142">
        <v>37.027061418391582</v>
      </c>
      <c r="CQ207" s="183">
        <v>-1804.676539360873</v>
      </c>
      <c r="CR207" s="144"/>
      <c r="CS207"/>
      <c r="CU207" s="232">
        <v>62.553685914061042</v>
      </c>
      <c r="CV207" s="143">
        <v>768.19953234606396</v>
      </c>
      <c r="CW207" s="146">
        <v>39.642959469287902</v>
      </c>
      <c r="CX207" s="143">
        <v>7072.9540140296185</v>
      </c>
      <c r="CY207" s="131">
        <v>10315</v>
      </c>
      <c r="CZ207" s="229">
        <v>4550</v>
      </c>
      <c r="DA207" s="229">
        <v>42613</v>
      </c>
      <c r="DB207" s="216">
        <v>-38063</v>
      </c>
      <c r="DC207" s="229">
        <v>23877</v>
      </c>
      <c r="DD207" s="229">
        <v>18725</v>
      </c>
      <c r="DE207" s="151"/>
      <c r="DG207" s="229">
        <v>-112</v>
      </c>
      <c r="DH207" s="229">
        <v>200</v>
      </c>
      <c r="DI207" s="229">
        <v>4627</v>
      </c>
      <c r="DJ207" s="229">
        <v>2646</v>
      </c>
      <c r="DK207" s="229">
        <v>0</v>
      </c>
      <c r="DL207" s="229">
        <v>0</v>
      </c>
      <c r="DM207" s="229">
        <v>1981</v>
      </c>
      <c r="DN207" s="131">
        <v>689</v>
      </c>
      <c r="DO207" s="131">
        <v>0</v>
      </c>
      <c r="DP207" s="130">
        <v>0</v>
      </c>
      <c r="DQ207" s="130">
        <v>2670</v>
      </c>
      <c r="DR207" s="130">
        <v>12098</v>
      </c>
      <c r="DS207" s="130">
        <v>4479</v>
      </c>
      <c r="DT207" s="167"/>
      <c r="DU207" s="183">
        <v>202</v>
      </c>
      <c r="DV207" s="183">
        <v>-897</v>
      </c>
      <c r="DW207" s="180">
        <v>3052</v>
      </c>
      <c r="DX207" s="130">
        <v>23877</v>
      </c>
      <c r="DY207" s="229">
        <v>20374</v>
      </c>
      <c r="DZ207" s="229">
        <v>1347</v>
      </c>
      <c r="EA207" s="229">
        <v>2156</v>
      </c>
      <c r="EB207" s="212">
        <v>21.5</v>
      </c>
      <c r="EC207" s="208"/>
      <c r="ED207" s="183">
        <v>121.514705882352</v>
      </c>
      <c r="EE207" s="3">
        <v>29764</v>
      </c>
      <c r="EF207" s="183">
        <v>28784</v>
      </c>
      <c r="EG207" s="130">
        <v>29219</v>
      </c>
      <c r="EH207" s="130"/>
      <c r="EI207" s="130"/>
      <c r="EJ207" s="130"/>
      <c r="EK207" s="183">
        <v>-4886</v>
      </c>
      <c r="EL207" s="183">
        <v>261</v>
      </c>
      <c r="EM207" s="183">
        <v>273</v>
      </c>
      <c r="EN207" s="226">
        <v>-2817</v>
      </c>
      <c r="EO207" s="226">
        <v>0</v>
      </c>
      <c r="EP207" s="226">
        <v>348</v>
      </c>
      <c r="EQ207" s="226">
        <v>-1746</v>
      </c>
      <c r="ER207" s="230">
        <v>0</v>
      </c>
      <c r="ES207" s="230">
        <v>319</v>
      </c>
      <c r="ET207" s="3">
        <v>4500</v>
      </c>
      <c r="EU207" s="211">
        <v>0</v>
      </c>
      <c r="EV207" s="183">
        <v>0</v>
      </c>
      <c r="EW207" s="183">
        <v>-551</v>
      </c>
      <c r="EX207" s="130">
        <v>0</v>
      </c>
      <c r="EY207" s="183">
        <v>-431</v>
      </c>
      <c r="EZ207" s="3">
        <v>11473</v>
      </c>
      <c r="FA207" s="3">
        <v>10424</v>
      </c>
      <c r="FB207" s="3">
        <v>1049</v>
      </c>
      <c r="FC207" s="3">
        <v>191</v>
      </c>
      <c r="FD207" s="226">
        <v>10424</v>
      </c>
      <c r="FE207" s="183">
        <v>9527</v>
      </c>
      <c r="FF207" s="183">
        <v>897</v>
      </c>
      <c r="FG207" s="183">
        <v>191</v>
      </c>
      <c r="FH207" s="230">
        <v>9527</v>
      </c>
      <c r="FI207" s="130">
        <v>8630</v>
      </c>
      <c r="FJ207" s="130">
        <v>897</v>
      </c>
      <c r="FK207" s="130">
        <v>191</v>
      </c>
      <c r="FL207" s="29">
        <v>3643.4836128635175</v>
      </c>
      <c r="FM207" s="139">
        <v>3692.9292929292928</v>
      </c>
      <c r="FN207" s="139">
        <v>4118.0046765393608</v>
      </c>
      <c r="FO207" s="172">
        <f t="shared" si="9"/>
        <v>947.62790697674416</v>
      </c>
      <c r="FP207" s="170">
        <f t="shared" si="10"/>
        <v>147.7206402146133</v>
      </c>
      <c r="FR207" s="175"/>
      <c r="FS207" s="195"/>
      <c r="FV207" s="175">
        <v>841</v>
      </c>
      <c r="FW207" s="2">
        <f t="shared" si="11"/>
        <v>-841</v>
      </c>
      <c r="FZ207" s="186"/>
      <c r="GA207" s="2"/>
      <c r="GB207" s="2"/>
    </row>
    <row r="208" spans="1:184" ht="13" x14ac:dyDescent="0.3">
      <c r="A208" s="77">
        <v>636</v>
      </c>
      <c r="B208" s="75" t="s">
        <v>199</v>
      </c>
      <c r="C208" s="179">
        <v>8333</v>
      </c>
      <c r="D208" s="138"/>
      <c r="E208" s="142">
        <v>0.90830748017924856</v>
      </c>
      <c r="F208" s="142">
        <v>34.285271104063973</v>
      </c>
      <c r="G208" s="183">
        <v>-2041.1616464658589</v>
      </c>
      <c r="H208" s="144"/>
      <c r="I208" s="186"/>
      <c r="K208" s="210">
        <v>58.013025948516493</v>
      </c>
      <c r="L208" s="143">
        <v>162.96651866074643</v>
      </c>
      <c r="M208" s="146">
        <v>7.532177427933199</v>
      </c>
      <c r="N208" s="143">
        <v>7897.1558862354495</v>
      </c>
      <c r="O208" s="138">
        <v>20717</v>
      </c>
      <c r="P208" s="143">
        <v>8848</v>
      </c>
      <c r="Q208" s="184">
        <v>55407</v>
      </c>
      <c r="R208" s="184">
        <v>-46559</v>
      </c>
      <c r="S208" s="139">
        <v>27222</v>
      </c>
      <c r="T208" s="138">
        <v>21952</v>
      </c>
      <c r="U208" s="151"/>
      <c r="W208" s="183">
        <v>-93</v>
      </c>
      <c r="X208" s="183">
        <v>20</v>
      </c>
      <c r="Y208" s="184">
        <v>2542</v>
      </c>
      <c r="Z208" s="130">
        <v>2091</v>
      </c>
      <c r="AA208" s="130">
        <v>0</v>
      </c>
      <c r="AB208" s="131">
        <v>0</v>
      </c>
      <c r="AC208" s="184">
        <v>451</v>
      </c>
      <c r="AD208" s="183">
        <v>55</v>
      </c>
      <c r="AE208" s="183">
        <v>0</v>
      </c>
      <c r="AF208" s="183">
        <v>0</v>
      </c>
      <c r="AG208" s="183">
        <v>506</v>
      </c>
      <c r="AH208" s="183">
        <v>2980</v>
      </c>
      <c r="AI208" s="183">
        <v>2193</v>
      </c>
      <c r="AJ208" s="167"/>
      <c r="AK208" s="183">
        <v>199</v>
      </c>
      <c r="AL208" s="183">
        <v>-2808</v>
      </c>
      <c r="AM208" s="180">
        <v>-5119</v>
      </c>
      <c r="AN208" s="139">
        <v>27222</v>
      </c>
      <c r="AO208" s="138">
        <v>23669</v>
      </c>
      <c r="AP208" s="184">
        <v>1677</v>
      </c>
      <c r="AQ208" s="138">
        <v>1876</v>
      </c>
      <c r="AR208" s="109">
        <v>21.25</v>
      </c>
      <c r="AS208" s="144"/>
      <c r="AT208" s="139">
        <v>108</v>
      </c>
      <c r="AU208" s="228">
        <v>8276</v>
      </c>
      <c r="AV208" s="138"/>
      <c r="AW208" s="224">
        <v>-4.7990981560512118E-2</v>
      </c>
      <c r="AX208" s="225">
        <v>49.448142655123654</v>
      </c>
      <c r="AY208" s="139">
        <v>-3134.3644272595457</v>
      </c>
      <c r="AZ208" s="144"/>
      <c r="BA208"/>
      <c r="BC208" s="189">
        <v>45.96578366445916</v>
      </c>
      <c r="BD208" s="183">
        <v>139.56017399710004</v>
      </c>
      <c r="BE208" s="140">
        <v>6.1008523755083139</v>
      </c>
      <c r="BF208" s="139">
        <v>8349.5650072498793</v>
      </c>
      <c r="BG208" s="184">
        <v>21459</v>
      </c>
      <c r="BH208" s="216">
        <v>9264</v>
      </c>
      <c r="BI208" s="216">
        <v>58171</v>
      </c>
      <c r="BJ208" s="216">
        <v>-48907</v>
      </c>
      <c r="BK208" s="216">
        <v>27649</v>
      </c>
      <c r="BL208" s="216">
        <v>21073</v>
      </c>
      <c r="BM208" s="151"/>
      <c r="BO208" s="216">
        <v>-83</v>
      </c>
      <c r="BP208" s="216">
        <v>35</v>
      </c>
      <c r="BQ208" s="216">
        <v>-233</v>
      </c>
      <c r="BR208" s="216">
        <v>2837</v>
      </c>
      <c r="BS208" s="216">
        <v>0</v>
      </c>
      <c r="BT208" s="216">
        <v>0</v>
      </c>
      <c r="BU208" s="216">
        <v>-3070</v>
      </c>
      <c r="BV208" s="183">
        <v>-897</v>
      </c>
      <c r="BW208" s="183">
        <v>927</v>
      </c>
      <c r="BX208" s="183">
        <v>0</v>
      </c>
      <c r="BY208" s="183">
        <v>-3040</v>
      </c>
      <c r="BZ208" s="183">
        <v>-60</v>
      </c>
      <c r="CA208" s="183">
        <v>-106</v>
      </c>
      <c r="CB208" s="167"/>
      <c r="CC208" s="183">
        <v>-52</v>
      </c>
      <c r="CD208" s="183">
        <v>-1313</v>
      </c>
      <c r="CE208" s="180">
        <v>-9095</v>
      </c>
      <c r="CF208" s="139">
        <v>27649</v>
      </c>
      <c r="CG208" s="216">
        <v>23906</v>
      </c>
      <c r="CH208" s="216">
        <v>1862</v>
      </c>
      <c r="CI208" s="216">
        <v>1881</v>
      </c>
      <c r="CJ208" s="212">
        <v>21.25</v>
      </c>
      <c r="CK208" s="144"/>
      <c r="CL208" s="130">
        <v>239</v>
      </c>
      <c r="CM208" s="228">
        <v>8229</v>
      </c>
      <c r="CN208" s="138"/>
      <c r="CO208" s="142">
        <v>2.7036167214654769</v>
      </c>
      <c r="CP208" s="142">
        <v>37.804603251247386</v>
      </c>
      <c r="CQ208" s="183">
        <v>-2278.7702029408192</v>
      </c>
      <c r="CR208" s="144"/>
      <c r="CS208"/>
      <c r="CU208" s="232">
        <v>53.916494805245343</v>
      </c>
      <c r="CV208" s="143">
        <v>344.14874225300764</v>
      </c>
      <c r="CW208" s="146">
        <v>17.306745692902709</v>
      </c>
      <c r="CX208" s="143">
        <v>7258.1115566897561</v>
      </c>
      <c r="CY208" s="131">
        <v>21088</v>
      </c>
      <c r="CZ208" s="229">
        <v>8880</v>
      </c>
      <c r="DA208" s="229">
        <v>56067</v>
      </c>
      <c r="DB208" s="216">
        <v>-47187</v>
      </c>
      <c r="DC208" s="229">
        <v>28965</v>
      </c>
      <c r="DD208" s="229">
        <v>24285</v>
      </c>
      <c r="DE208" s="151"/>
      <c r="DG208" s="229">
        <v>-78</v>
      </c>
      <c r="DH208" s="229">
        <v>-308</v>
      </c>
      <c r="DI208" s="229">
        <v>5677</v>
      </c>
      <c r="DJ208" s="229">
        <v>2952</v>
      </c>
      <c r="DK208" s="229">
        <v>0</v>
      </c>
      <c r="DL208" s="229">
        <v>0</v>
      </c>
      <c r="DM208" s="229">
        <v>2725</v>
      </c>
      <c r="DN208" s="130">
        <v>78</v>
      </c>
      <c r="DO208" s="130">
        <v>0</v>
      </c>
      <c r="DP208" s="130">
        <v>0</v>
      </c>
      <c r="DQ208" s="130">
        <v>2803</v>
      </c>
      <c r="DR208" s="130">
        <v>2743</v>
      </c>
      <c r="DS208" s="130">
        <v>5455</v>
      </c>
      <c r="DT208" s="167"/>
      <c r="DU208" s="183">
        <v>-325</v>
      </c>
      <c r="DV208" s="183">
        <v>-2050</v>
      </c>
      <c r="DW208" s="180">
        <v>6984</v>
      </c>
      <c r="DX208" s="130">
        <v>28965</v>
      </c>
      <c r="DY208" s="229">
        <v>24492</v>
      </c>
      <c r="DZ208" s="229">
        <v>2783</v>
      </c>
      <c r="EA208" s="229">
        <v>1690</v>
      </c>
      <c r="EB208" s="212">
        <v>21.25</v>
      </c>
      <c r="EC208" s="208"/>
      <c r="ED208" s="183">
        <v>139.64705882352899</v>
      </c>
      <c r="EE208" s="3">
        <v>26081</v>
      </c>
      <c r="EF208" s="183">
        <v>27388</v>
      </c>
      <c r="EG208" s="130">
        <v>25901</v>
      </c>
      <c r="EH208" s="130"/>
      <c r="EI208" s="130"/>
      <c r="EJ208" s="130"/>
      <c r="EK208" s="183">
        <v>-7378</v>
      </c>
      <c r="EL208" s="183">
        <v>0</v>
      </c>
      <c r="EM208" s="183">
        <v>66</v>
      </c>
      <c r="EN208" s="226">
        <v>-9521</v>
      </c>
      <c r="EO208" s="226">
        <v>153</v>
      </c>
      <c r="EP208" s="226">
        <v>379</v>
      </c>
      <c r="EQ208" s="226">
        <v>-1183</v>
      </c>
      <c r="ER208" s="230">
        <v>0</v>
      </c>
      <c r="ES208" s="230">
        <v>2712</v>
      </c>
      <c r="ET208" s="3">
        <v>8024</v>
      </c>
      <c r="EU208" s="211">
        <v>-1000</v>
      </c>
      <c r="EV208" s="183">
        <v>8000</v>
      </c>
      <c r="EW208" s="183">
        <v>2500</v>
      </c>
      <c r="EX208" s="130">
        <v>0</v>
      </c>
      <c r="EY208" s="183">
        <v>-2500</v>
      </c>
      <c r="EZ208" s="3">
        <v>12112</v>
      </c>
      <c r="FA208" s="3">
        <v>11218</v>
      </c>
      <c r="FB208" s="3">
        <v>894</v>
      </c>
      <c r="FC208" s="3">
        <v>938</v>
      </c>
      <c r="FD208" s="226">
        <v>21298</v>
      </c>
      <c r="FE208" s="183">
        <v>16747</v>
      </c>
      <c r="FF208" s="183">
        <v>4551</v>
      </c>
      <c r="FG208" s="183">
        <v>896</v>
      </c>
      <c r="FH208" s="230">
        <v>16748</v>
      </c>
      <c r="FI208" s="130">
        <v>14698</v>
      </c>
      <c r="FJ208" s="130">
        <v>2050</v>
      </c>
      <c r="FK208" s="130">
        <v>508</v>
      </c>
      <c r="FL208" s="29">
        <v>2329.5331813272533</v>
      </c>
      <c r="FM208" s="139">
        <v>3378.4436926051235</v>
      </c>
      <c r="FN208" s="139">
        <v>2747.3569084943492</v>
      </c>
      <c r="FO208" s="172">
        <f t="shared" si="9"/>
        <v>1152.5647058823529</v>
      </c>
      <c r="FP208" s="170">
        <f t="shared" si="10"/>
        <v>140.06133258990801</v>
      </c>
      <c r="FR208" s="175"/>
      <c r="FS208" s="195"/>
      <c r="FV208" s="175">
        <v>475</v>
      </c>
      <c r="FW208" s="2">
        <f t="shared" si="11"/>
        <v>-475</v>
      </c>
      <c r="FZ208" s="186"/>
      <c r="GA208" s="2"/>
      <c r="GB208" s="2"/>
    </row>
    <row r="209" spans="1:184" ht="13" x14ac:dyDescent="0.3">
      <c r="A209" s="77">
        <v>678</v>
      </c>
      <c r="B209" s="75" t="s">
        <v>201</v>
      </c>
      <c r="C209" s="179">
        <v>24811</v>
      </c>
      <c r="D209" s="138"/>
      <c r="E209" s="142">
        <v>0.50792048454729</v>
      </c>
      <c r="F209" s="142">
        <v>103.09025545794348</v>
      </c>
      <c r="G209" s="183">
        <v>-4798.5570916125907</v>
      </c>
      <c r="H209" s="144"/>
      <c r="I209" s="186"/>
      <c r="K209" s="210">
        <v>29.772947640594701</v>
      </c>
      <c r="L209" s="143">
        <v>1730.925799040748</v>
      </c>
      <c r="M209" s="146">
        <v>79.481642235281583</v>
      </c>
      <c r="N209" s="143">
        <v>7948.8533311837491</v>
      </c>
      <c r="O209" s="138">
        <v>47931</v>
      </c>
      <c r="P209" s="143">
        <v>18682</v>
      </c>
      <c r="Q209" s="184">
        <v>163028</v>
      </c>
      <c r="R209" s="184">
        <v>-144346</v>
      </c>
      <c r="S209" s="139">
        <v>92255</v>
      </c>
      <c r="T209" s="138">
        <v>57714</v>
      </c>
      <c r="U209" s="151"/>
      <c r="W209" s="183">
        <v>-433</v>
      </c>
      <c r="X209" s="183">
        <v>259</v>
      </c>
      <c r="Y209" s="184">
        <v>5449</v>
      </c>
      <c r="Z209" s="130">
        <v>6933</v>
      </c>
      <c r="AA209" s="131">
        <v>0</v>
      </c>
      <c r="AB209" s="131">
        <v>0</v>
      </c>
      <c r="AC209" s="184">
        <v>-1484</v>
      </c>
      <c r="AD209" s="184">
        <v>0</v>
      </c>
      <c r="AE209" s="183">
        <v>0</v>
      </c>
      <c r="AF209" s="183">
        <v>0</v>
      </c>
      <c r="AG209" s="183">
        <v>-1484</v>
      </c>
      <c r="AH209" s="183">
        <v>10935</v>
      </c>
      <c r="AI209" s="183">
        <v>5281</v>
      </c>
      <c r="AJ209" s="167"/>
      <c r="AK209" s="183">
        <v>1985</v>
      </c>
      <c r="AL209" s="183">
        <v>-11786</v>
      </c>
      <c r="AM209" s="180">
        <v>-11095</v>
      </c>
      <c r="AN209" s="139">
        <v>92255</v>
      </c>
      <c r="AO209" s="138">
        <v>81914</v>
      </c>
      <c r="AP209" s="184">
        <v>3264</v>
      </c>
      <c r="AQ209" s="138">
        <v>7077</v>
      </c>
      <c r="AR209" s="109">
        <v>21</v>
      </c>
      <c r="AS209" s="144"/>
      <c r="AT209" s="139">
        <v>155</v>
      </c>
      <c r="AU209" s="228">
        <v>24679</v>
      </c>
      <c r="AV209" s="138"/>
      <c r="AW209" s="224">
        <v>0.1289529683534941</v>
      </c>
      <c r="AX209" s="225">
        <v>107.81706630309138</v>
      </c>
      <c r="AY209" s="139">
        <v>-5170.3472588030309</v>
      </c>
      <c r="AZ209" s="144"/>
      <c r="BA209"/>
      <c r="BC209" s="189">
        <v>26.998612338589385</v>
      </c>
      <c r="BD209" s="183">
        <v>1818.9148668908788</v>
      </c>
      <c r="BE209" s="140">
        <v>79.345289981403994</v>
      </c>
      <c r="BF209" s="139">
        <v>8367.2758215486847</v>
      </c>
      <c r="BG209" s="184">
        <v>49281</v>
      </c>
      <c r="BH209" s="216">
        <v>17598</v>
      </c>
      <c r="BI209" s="216">
        <v>171111</v>
      </c>
      <c r="BJ209" s="216">
        <v>-152871</v>
      </c>
      <c r="BK209" s="216">
        <v>92779</v>
      </c>
      <c r="BL209" s="216">
        <v>58318</v>
      </c>
      <c r="BM209" s="151"/>
      <c r="BO209" s="216">
        <v>-693</v>
      </c>
      <c r="BP209" s="216">
        <v>4119</v>
      </c>
      <c r="BQ209" s="216">
        <v>1652</v>
      </c>
      <c r="BR209" s="216">
        <v>8190</v>
      </c>
      <c r="BS209" s="216">
        <v>357</v>
      </c>
      <c r="BT209" s="216">
        <v>0</v>
      </c>
      <c r="BU209" s="216">
        <v>-6181</v>
      </c>
      <c r="BV209" s="184">
        <v>0</v>
      </c>
      <c r="BW209" s="183">
        <v>0</v>
      </c>
      <c r="BX209" s="183">
        <v>0</v>
      </c>
      <c r="BY209" s="183">
        <v>-6181</v>
      </c>
      <c r="BZ209" s="183">
        <v>4754</v>
      </c>
      <c r="CA209" s="183">
        <v>1738</v>
      </c>
      <c r="CB209" s="167"/>
      <c r="CC209" s="183">
        <v>1807</v>
      </c>
      <c r="CD209" s="183">
        <v>-19939</v>
      </c>
      <c r="CE209" s="180">
        <v>-8630</v>
      </c>
      <c r="CF209" s="139">
        <v>92779</v>
      </c>
      <c r="CG209" s="216">
        <v>81506</v>
      </c>
      <c r="CH209" s="216">
        <v>4015</v>
      </c>
      <c r="CI209" s="216">
        <v>7258</v>
      </c>
      <c r="CJ209" s="212">
        <v>21</v>
      </c>
      <c r="CK209" s="144"/>
      <c r="CL209" s="130">
        <v>202</v>
      </c>
      <c r="CM209" s="228">
        <v>24353</v>
      </c>
      <c r="CN209" s="138"/>
      <c r="CO209" s="142">
        <v>1.0221166534705728</v>
      </c>
      <c r="CP209" s="142">
        <v>104.91089002130012</v>
      </c>
      <c r="CQ209" s="183">
        <v>-5718.2277337494352</v>
      </c>
      <c r="CR209" s="144"/>
      <c r="CS209"/>
      <c r="CU209" s="232">
        <v>27.425375909097671</v>
      </c>
      <c r="CV209" s="143">
        <v>1900.6693220547777</v>
      </c>
      <c r="CW209" s="146">
        <v>76.405368125904488</v>
      </c>
      <c r="CX209" s="143">
        <v>9079.784831437606</v>
      </c>
      <c r="CY209" s="131">
        <v>47936</v>
      </c>
      <c r="CZ209" s="229">
        <v>16430</v>
      </c>
      <c r="DA209" s="229">
        <v>169619</v>
      </c>
      <c r="DB209" s="216">
        <v>-153189</v>
      </c>
      <c r="DC209" s="229">
        <v>99127</v>
      </c>
      <c r="DD209" s="229">
        <v>70583</v>
      </c>
      <c r="DE209" s="151"/>
      <c r="DG209" s="229">
        <v>-602</v>
      </c>
      <c r="DH209" s="229">
        <v>2313</v>
      </c>
      <c r="DI209" s="229">
        <v>18232</v>
      </c>
      <c r="DJ209" s="229">
        <v>10960</v>
      </c>
      <c r="DK209" s="229">
        <v>0</v>
      </c>
      <c r="DL209" s="229">
        <v>1024</v>
      </c>
      <c r="DM209" s="229">
        <v>6248</v>
      </c>
      <c r="DN209" s="131">
        <v>0</v>
      </c>
      <c r="DO209" s="130">
        <v>-3500</v>
      </c>
      <c r="DP209" s="130">
        <v>0</v>
      </c>
      <c r="DQ209" s="130">
        <v>2748</v>
      </c>
      <c r="DR209" s="130">
        <v>7502</v>
      </c>
      <c r="DS209" s="130">
        <v>17039</v>
      </c>
      <c r="DT209" s="167"/>
      <c r="DU209" s="183">
        <v>385</v>
      </c>
      <c r="DV209" s="183">
        <v>-17813</v>
      </c>
      <c r="DW209" s="180">
        <v>-13648</v>
      </c>
      <c r="DX209" s="130">
        <v>99127</v>
      </c>
      <c r="DY209" s="229">
        <v>86705</v>
      </c>
      <c r="DZ209" s="229">
        <v>5964</v>
      </c>
      <c r="EA209" s="229">
        <v>6458</v>
      </c>
      <c r="EB209" s="212">
        <v>21</v>
      </c>
      <c r="EC209" s="208"/>
      <c r="ED209" s="183">
        <v>104.389705882352</v>
      </c>
      <c r="EE209" s="3">
        <v>98435</v>
      </c>
      <c r="EF209" s="183">
        <v>104970</v>
      </c>
      <c r="EG209" s="130">
        <v>106154</v>
      </c>
      <c r="EH209" s="130"/>
      <c r="EI209" s="130"/>
      <c r="EJ209" s="130"/>
      <c r="EK209" s="183">
        <v>-17595</v>
      </c>
      <c r="EL209" s="183">
        <v>875</v>
      </c>
      <c r="EM209" s="183">
        <v>344</v>
      </c>
      <c r="EN209" s="226">
        <v>-13058</v>
      </c>
      <c r="EO209" s="226">
        <v>6</v>
      </c>
      <c r="EP209" s="226">
        <v>2684</v>
      </c>
      <c r="EQ209" s="226">
        <v>-30955</v>
      </c>
      <c r="ER209" s="230">
        <v>19</v>
      </c>
      <c r="ES209" s="230">
        <v>249</v>
      </c>
      <c r="ET209" s="3">
        <v>50000</v>
      </c>
      <c r="EU209" s="211">
        <v>-34300</v>
      </c>
      <c r="EV209" s="183">
        <v>20000</v>
      </c>
      <c r="EW209" s="183">
        <v>11300</v>
      </c>
      <c r="EX209" s="130">
        <v>32950</v>
      </c>
      <c r="EY209" s="183">
        <v>-4000</v>
      </c>
      <c r="EZ209" s="3">
        <v>148522</v>
      </c>
      <c r="FA209" s="3">
        <v>76450</v>
      </c>
      <c r="FB209" s="3">
        <v>72072</v>
      </c>
      <c r="FC209" s="3">
        <v>15592</v>
      </c>
      <c r="FD209" s="226">
        <v>159883</v>
      </c>
      <c r="FE209" s="183">
        <v>80520</v>
      </c>
      <c r="FF209" s="183">
        <v>79363</v>
      </c>
      <c r="FG209" s="183">
        <v>15210</v>
      </c>
      <c r="FH209" s="230">
        <v>171020</v>
      </c>
      <c r="FI209" s="130">
        <v>93929</v>
      </c>
      <c r="FJ209" s="130">
        <v>77091</v>
      </c>
      <c r="FK209" s="130">
        <v>13257</v>
      </c>
      <c r="FL209" s="29">
        <v>10496.916690177743</v>
      </c>
      <c r="FM209" s="139">
        <v>10999.473236354796</v>
      </c>
      <c r="FN209" s="139">
        <v>11574.179772512627</v>
      </c>
      <c r="FO209" s="172">
        <f t="shared" si="9"/>
        <v>4128.8095238095239</v>
      </c>
      <c r="FP209" s="170">
        <f t="shared" si="10"/>
        <v>169.54007817556456</v>
      </c>
      <c r="FR209" s="175"/>
      <c r="FS209" s="195"/>
      <c r="FV209" s="175">
        <v>13172</v>
      </c>
      <c r="FW209" s="2">
        <f t="shared" si="11"/>
        <v>-13172</v>
      </c>
      <c r="FZ209" s="186"/>
      <c r="GA209" s="2"/>
      <c r="GB209" s="2"/>
    </row>
    <row r="210" spans="1:184" ht="13" x14ac:dyDescent="0.3">
      <c r="A210" s="174">
        <v>710</v>
      </c>
      <c r="B210" s="81" t="s">
        <v>364</v>
      </c>
      <c r="C210" s="179">
        <v>27592</v>
      </c>
      <c r="D210" s="138"/>
      <c r="E210" s="142">
        <v>0.40015180265654648</v>
      </c>
      <c r="F210" s="142">
        <v>70.878792063711273</v>
      </c>
      <c r="G210" s="183">
        <v>-3538.3444476659902</v>
      </c>
      <c r="H210" s="144"/>
      <c r="I210" s="186"/>
      <c r="K210" s="210">
        <v>32.670353450348642</v>
      </c>
      <c r="L210" s="143">
        <v>227.23977964627429</v>
      </c>
      <c r="M210" s="146">
        <v>10.565399246565223</v>
      </c>
      <c r="N210" s="143">
        <v>7850.3914178022615</v>
      </c>
      <c r="O210" s="138">
        <v>81554</v>
      </c>
      <c r="P210" s="143">
        <v>29011</v>
      </c>
      <c r="Q210" s="184">
        <v>192678</v>
      </c>
      <c r="R210" s="184">
        <v>-163667</v>
      </c>
      <c r="S210" s="139">
        <v>112870</v>
      </c>
      <c r="T210" s="138">
        <v>53893</v>
      </c>
      <c r="U210" s="151"/>
      <c r="W210" s="183">
        <v>204</v>
      </c>
      <c r="X210" s="183">
        <v>438</v>
      </c>
      <c r="Y210" s="184">
        <v>3738</v>
      </c>
      <c r="Z210" s="130">
        <v>6429</v>
      </c>
      <c r="AA210" s="130">
        <v>0</v>
      </c>
      <c r="AB210" s="130">
        <v>0</v>
      </c>
      <c r="AC210" s="184">
        <v>-2691</v>
      </c>
      <c r="AD210" s="183">
        <v>0</v>
      </c>
      <c r="AE210" s="183">
        <v>0</v>
      </c>
      <c r="AF210" s="183">
        <v>0</v>
      </c>
      <c r="AG210" s="183">
        <v>-2691</v>
      </c>
      <c r="AH210" s="183">
        <v>-5033</v>
      </c>
      <c r="AI210" s="183">
        <v>2472</v>
      </c>
      <c r="AJ210" s="167"/>
      <c r="AK210" s="183">
        <v>559</v>
      </c>
      <c r="AL210" s="183">
        <v>-11641</v>
      </c>
      <c r="AM210" s="180">
        <v>-5973</v>
      </c>
      <c r="AN210" s="139">
        <v>112870</v>
      </c>
      <c r="AO210" s="138">
        <v>97092</v>
      </c>
      <c r="AP210" s="184">
        <v>4435</v>
      </c>
      <c r="AQ210" s="138">
        <v>11343</v>
      </c>
      <c r="AR210" s="109">
        <v>22</v>
      </c>
      <c r="AS210" s="144"/>
      <c r="AT210" s="139">
        <v>205</v>
      </c>
      <c r="AU210" s="228">
        <v>27536</v>
      </c>
      <c r="AV210" s="138"/>
      <c r="AW210" s="224">
        <v>0.10833981153871303</v>
      </c>
      <c r="AX210" s="225">
        <v>73.696558783437979</v>
      </c>
      <c r="AY210" s="139">
        <v>-3972.3997675769901</v>
      </c>
      <c r="AZ210" s="144"/>
      <c r="BA210"/>
      <c r="BC210" s="189">
        <v>29.595587354377422</v>
      </c>
      <c r="BD210" s="183">
        <v>124.49157466589192</v>
      </c>
      <c r="BE210" s="140">
        <v>5.5844573183250468</v>
      </c>
      <c r="BF210" s="139">
        <v>8136.7664148750728</v>
      </c>
      <c r="BG210" s="184">
        <v>83411</v>
      </c>
      <c r="BH210" s="216">
        <v>28748</v>
      </c>
      <c r="BI210" s="216">
        <v>197936</v>
      </c>
      <c r="BJ210" s="216">
        <v>-168872</v>
      </c>
      <c r="BK210" s="216">
        <v>114095</v>
      </c>
      <c r="BL210" s="216">
        <v>54500</v>
      </c>
      <c r="BM210" s="151"/>
      <c r="BO210" s="216">
        <v>329</v>
      </c>
      <c r="BP210" s="216">
        <v>454</v>
      </c>
      <c r="BQ210" s="216">
        <v>506</v>
      </c>
      <c r="BR210" s="216">
        <v>6680</v>
      </c>
      <c r="BS210" s="216">
        <v>0</v>
      </c>
      <c r="BT210" s="216">
        <v>0</v>
      </c>
      <c r="BU210" s="216">
        <v>-6174</v>
      </c>
      <c r="BV210" s="183">
        <v>0</v>
      </c>
      <c r="BW210" s="183">
        <v>0</v>
      </c>
      <c r="BX210" s="183">
        <v>0</v>
      </c>
      <c r="BY210" s="183">
        <v>-6174</v>
      </c>
      <c r="BZ210" s="183">
        <v>-11206</v>
      </c>
      <c r="CA210" s="183">
        <v>-746</v>
      </c>
      <c r="CB210" s="167"/>
      <c r="CC210" s="183">
        <v>2050</v>
      </c>
      <c r="CD210" s="183">
        <v>-11683</v>
      </c>
      <c r="CE210" s="180">
        <v>-11732</v>
      </c>
      <c r="CF210" s="139">
        <v>114095</v>
      </c>
      <c r="CG210" s="216">
        <v>98557</v>
      </c>
      <c r="CH210" s="216">
        <v>4120</v>
      </c>
      <c r="CI210" s="216">
        <v>11418</v>
      </c>
      <c r="CJ210" s="212">
        <v>22</v>
      </c>
      <c r="CK210" s="144"/>
      <c r="CL210" s="130">
        <v>221</v>
      </c>
      <c r="CM210" s="228">
        <v>27528</v>
      </c>
      <c r="CN210" s="138"/>
      <c r="CO210" s="142">
        <v>1.3249340755933197</v>
      </c>
      <c r="CP210" s="142">
        <v>64.439137504157273</v>
      </c>
      <c r="CQ210" s="183">
        <v>-3747.9657076431272</v>
      </c>
      <c r="CR210" s="144"/>
      <c r="CS210"/>
      <c r="CU210" s="232">
        <v>33.730731441304641</v>
      </c>
      <c r="CV210" s="143">
        <v>195.36471955826795</v>
      </c>
      <c r="CW210" s="146">
        <v>8.6514085748536775</v>
      </c>
      <c r="CX210" s="143">
        <v>8242.3714036617257</v>
      </c>
      <c r="CY210" s="131">
        <v>84279</v>
      </c>
      <c r="CZ210" s="229">
        <v>29971</v>
      </c>
      <c r="DA210" s="229">
        <v>201000</v>
      </c>
      <c r="DB210" s="216">
        <v>-171029</v>
      </c>
      <c r="DC210" s="229">
        <v>117296</v>
      </c>
      <c r="DD210" s="229">
        <v>69699</v>
      </c>
      <c r="DE210" s="151"/>
      <c r="DG210" s="229">
        <v>826</v>
      </c>
      <c r="DH210" s="229">
        <v>480</v>
      </c>
      <c r="DI210" s="229">
        <v>17272</v>
      </c>
      <c r="DJ210" s="229">
        <v>7279</v>
      </c>
      <c r="DK210" s="229">
        <v>0</v>
      </c>
      <c r="DL210" s="229">
        <v>0</v>
      </c>
      <c r="DM210" s="229">
        <v>9993</v>
      </c>
      <c r="DN210" s="130">
        <v>0</v>
      </c>
      <c r="DO210" s="130">
        <v>0</v>
      </c>
      <c r="DP210" s="130">
        <v>0</v>
      </c>
      <c r="DQ210" s="130">
        <v>9993</v>
      </c>
      <c r="DR210" s="130">
        <v>-1213</v>
      </c>
      <c r="DS210" s="130">
        <v>16330</v>
      </c>
      <c r="DT210" s="167"/>
      <c r="DU210" s="183">
        <v>1672</v>
      </c>
      <c r="DV210" s="183">
        <v>-12836</v>
      </c>
      <c r="DW210" s="180">
        <v>6268</v>
      </c>
      <c r="DX210" s="130">
        <v>117296</v>
      </c>
      <c r="DY210" s="229">
        <v>102828</v>
      </c>
      <c r="DZ210" s="229">
        <v>4138</v>
      </c>
      <c r="EA210" s="229">
        <v>10330</v>
      </c>
      <c r="EB210" s="212">
        <v>22</v>
      </c>
      <c r="EC210" s="208"/>
      <c r="ED210" s="183">
        <v>170.875</v>
      </c>
      <c r="EE210" s="3">
        <v>86076</v>
      </c>
      <c r="EF210" s="183">
        <v>89107</v>
      </c>
      <c r="EG210" s="130">
        <v>89750</v>
      </c>
      <c r="EH210" s="130"/>
      <c r="EI210" s="130"/>
      <c r="EJ210" s="130">
        <v>1500</v>
      </c>
      <c r="EK210" s="183">
        <v>-11011</v>
      </c>
      <c r="EL210" s="183">
        <v>963</v>
      </c>
      <c r="EM210" s="183">
        <v>1603</v>
      </c>
      <c r="EN210" s="226">
        <v>-13389</v>
      </c>
      <c r="EO210" s="226">
        <v>701</v>
      </c>
      <c r="EP210" s="226">
        <v>1702</v>
      </c>
      <c r="EQ210" s="226">
        <v>-12737</v>
      </c>
      <c r="ER210" s="230">
        <v>426</v>
      </c>
      <c r="ES210" s="230">
        <v>2249</v>
      </c>
      <c r="ET210" s="3">
        <v>13000</v>
      </c>
      <c r="EU210" s="211">
        <v>-2928</v>
      </c>
      <c r="EV210" s="183">
        <v>14800</v>
      </c>
      <c r="EW210" s="183">
        <v>5378</v>
      </c>
      <c r="EX210" s="130">
        <v>10000</v>
      </c>
      <c r="EY210" s="183">
        <v>-1787</v>
      </c>
      <c r="EZ210" s="3">
        <v>107297</v>
      </c>
      <c r="FA210" s="3">
        <v>54794</v>
      </c>
      <c r="FB210" s="3">
        <v>52503</v>
      </c>
      <c r="FC210" s="3">
        <v>1222</v>
      </c>
      <c r="FD210" s="226">
        <v>115792</v>
      </c>
      <c r="FE210" s="183">
        <v>58177</v>
      </c>
      <c r="FF210" s="183">
        <v>57615</v>
      </c>
      <c r="FG210" s="183">
        <v>1222</v>
      </c>
      <c r="FH210" s="230">
        <v>111170</v>
      </c>
      <c r="FI210" s="130">
        <v>54994</v>
      </c>
      <c r="FJ210" s="130">
        <v>56176</v>
      </c>
      <c r="FK210" s="130">
        <v>1222</v>
      </c>
      <c r="FL210" s="29">
        <v>4647.3615540736446</v>
      </c>
      <c r="FM210" s="139">
        <v>5194.90848343986</v>
      </c>
      <c r="FN210" s="139">
        <v>5026.8090671316477</v>
      </c>
      <c r="FO210" s="172">
        <f t="shared" si="9"/>
        <v>4674</v>
      </c>
      <c r="FP210" s="170">
        <f t="shared" si="10"/>
        <v>169.79075850043594</v>
      </c>
      <c r="FR210" s="175"/>
      <c r="FS210" s="195"/>
      <c r="FV210" s="175">
        <v>7495</v>
      </c>
      <c r="FW210" s="2">
        <f t="shared" si="11"/>
        <v>-7495</v>
      </c>
      <c r="FZ210" s="186"/>
      <c r="GA210" s="2"/>
      <c r="GB210" s="2"/>
    </row>
    <row r="211" spans="1:184" ht="13" x14ac:dyDescent="0.3">
      <c r="A211" s="77">
        <v>680</v>
      </c>
      <c r="B211" s="75" t="s">
        <v>202</v>
      </c>
      <c r="C211" s="179">
        <v>24178</v>
      </c>
      <c r="D211" s="138"/>
      <c r="E211" s="142">
        <v>0.25712828070971033</v>
      </c>
      <c r="F211" s="142">
        <v>50.065654056356024</v>
      </c>
      <c r="G211" s="183">
        <v>-1573.8274464389115</v>
      </c>
      <c r="H211" s="144"/>
      <c r="I211" s="186"/>
      <c r="K211" s="210">
        <v>57.005768426377173</v>
      </c>
      <c r="L211" s="143">
        <v>218.9593845644801</v>
      </c>
      <c r="M211" s="146">
        <v>9.9879564156638967</v>
      </c>
      <c r="N211" s="143">
        <v>8001.6543965588553</v>
      </c>
      <c r="O211" s="138">
        <v>69163</v>
      </c>
      <c r="P211" s="143">
        <v>42763</v>
      </c>
      <c r="Q211" s="184">
        <v>166275</v>
      </c>
      <c r="R211" s="184">
        <v>-123512</v>
      </c>
      <c r="S211" s="139">
        <v>99208</v>
      </c>
      <c r="T211" s="138">
        <v>27097</v>
      </c>
      <c r="U211" s="151"/>
      <c r="W211" s="183">
        <v>58</v>
      </c>
      <c r="X211" s="183">
        <v>1095</v>
      </c>
      <c r="Y211" s="184">
        <v>3946</v>
      </c>
      <c r="Z211" s="130">
        <v>7630</v>
      </c>
      <c r="AA211" s="131">
        <v>0</v>
      </c>
      <c r="AB211" s="131">
        <v>0</v>
      </c>
      <c r="AC211" s="184">
        <v>-3684</v>
      </c>
      <c r="AD211" s="184">
        <v>0</v>
      </c>
      <c r="AE211" s="184">
        <v>0</v>
      </c>
      <c r="AF211" s="183">
        <v>0</v>
      </c>
      <c r="AG211" s="183">
        <v>-3684</v>
      </c>
      <c r="AH211" s="183">
        <v>15511</v>
      </c>
      <c r="AI211" s="183">
        <v>2632</v>
      </c>
      <c r="AJ211" s="167"/>
      <c r="AK211" s="183">
        <v>-553</v>
      </c>
      <c r="AL211" s="183">
        <v>-17051</v>
      </c>
      <c r="AM211" s="180">
        <v>-3822</v>
      </c>
      <c r="AN211" s="139">
        <v>99208</v>
      </c>
      <c r="AO211" s="138">
        <v>85873</v>
      </c>
      <c r="AP211" s="184">
        <v>5642</v>
      </c>
      <c r="AQ211" s="138">
        <v>7693</v>
      </c>
      <c r="AR211" s="109">
        <v>19.75</v>
      </c>
      <c r="AS211" s="144"/>
      <c r="AT211" s="139">
        <v>186</v>
      </c>
      <c r="AU211" s="228">
        <v>24056</v>
      </c>
      <c r="AV211" s="138"/>
      <c r="AW211" s="224">
        <v>0.13263979193758127</v>
      </c>
      <c r="AX211" s="225">
        <v>51.256526647537513</v>
      </c>
      <c r="AY211" s="139">
        <v>-1868.3904223478551</v>
      </c>
      <c r="AZ211" s="144"/>
      <c r="BA211"/>
      <c r="BC211" s="189">
        <v>54.844038862447391</v>
      </c>
      <c r="BD211" s="183">
        <v>210.05154639175257</v>
      </c>
      <c r="BE211" s="140">
        <v>9.5533702481650504</v>
      </c>
      <c r="BF211" s="139">
        <v>8025.3159294978386</v>
      </c>
      <c r="BG211" s="184">
        <v>71250</v>
      </c>
      <c r="BH211" s="216">
        <v>42524</v>
      </c>
      <c r="BI211" s="216">
        <v>171619</v>
      </c>
      <c r="BJ211" s="216">
        <v>-129095</v>
      </c>
      <c r="BK211" s="216">
        <v>99100</v>
      </c>
      <c r="BL211" s="216">
        <v>28448</v>
      </c>
      <c r="BM211" s="151"/>
      <c r="BO211" s="216">
        <v>180</v>
      </c>
      <c r="BP211" s="216">
        <v>2126</v>
      </c>
      <c r="BQ211" s="216">
        <v>759</v>
      </c>
      <c r="BR211" s="216">
        <v>8053</v>
      </c>
      <c r="BS211" s="216">
        <v>1633</v>
      </c>
      <c r="BT211" s="216">
        <v>0</v>
      </c>
      <c r="BU211" s="216">
        <v>-5661</v>
      </c>
      <c r="BV211" s="184">
        <v>0</v>
      </c>
      <c r="BW211" s="184">
        <v>0</v>
      </c>
      <c r="BX211" s="183">
        <v>0</v>
      </c>
      <c r="BY211" s="183">
        <v>-5661</v>
      </c>
      <c r="BZ211" s="183">
        <v>9851</v>
      </c>
      <c r="CA211" s="183">
        <v>1196</v>
      </c>
      <c r="CB211" s="167"/>
      <c r="CC211" s="183">
        <v>4125</v>
      </c>
      <c r="CD211" s="183">
        <v>-9401</v>
      </c>
      <c r="CE211" s="180">
        <v>-6784</v>
      </c>
      <c r="CF211" s="139">
        <v>99100</v>
      </c>
      <c r="CG211" s="216">
        <v>85900</v>
      </c>
      <c r="CH211" s="216">
        <v>5411</v>
      </c>
      <c r="CI211" s="216">
        <v>7789</v>
      </c>
      <c r="CJ211" s="212">
        <v>19.75</v>
      </c>
      <c r="CK211" s="144"/>
      <c r="CL211" s="130">
        <v>218</v>
      </c>
      <c r="CM211" s="228">
        <v>24407</v>
      </c>
      <c r="CN211" s="138"/>
      <c r="CO211" s="142">
        <v>2.1239309827456863</v>
      </c>
      <c r="CP211" s="142">
        <v>43.823608320238286</v>
      </c>
      <c r="CQ211" s="183">
        <v>-1382.3083541606916</v>
      </c>
      <c r="CR211" s="144"/>
      <c r="CS211"/>
      <c r="CU211" s="232">
        <v>58.047608114775322</v>
      </c>
      <c r="CV211" s="143">
        <v>388.12635719260868</v>
      </c>
      <c r="CW211" s="146">
        <v>18.566730029855876</v>
      </c>
      <c r="CX211" s="143">
        <v>7630.1061170975536</v>
      </c>
      <c r="CY211" s="131">
        <v>70726</v>
      </c>
      <c r="CZ211" s="229">
        <v>40171</v>
      </c>
      <c r="DA211" s="229">
        <v>170240</v>
      </c>
      <c r="DB211" s="216">
        <v>-130069</v>
      </c>
      <c r="DC211" s="229">
        <v>103343</v>
      </c>
      <c r="DD211" s="229">
        <v>39125</v>
      </c>
      <c r="DE211" s="151"/>
      <c r="DG211" s="229">
        <v>299</v>
      </c>
      <c r="DH211" s="229">
        <v>1128</v>
      </c>
      <c r="DI211" s="229">
        <v>13826</v>
      </c>
      <c r="DJ211" s="229">
        <v>8174</v>
      </c>
      <c r="DK211" s="229">
        <v>1636</v>
      </c>
      <c r="DL211" s="229">
        <v>0</v>
      </c>
      <c r="DM211" s="229">
        <v>7288</v>
      </c>
      <c r="DN211" s="131">
        <v>0</v>
      </c>
      <c r="DO211" s="131">
        <v>0</v>
      </c>
      <c r="DP211" s="130">
        <v>0</v>
      </c>
      <c r="DQ211" s="130">
        <v>7288</v>
      </c>
      <c r="DR211" s="130">
        <v>17138</v>
      </c>
      <c r="DS211" s="130">
        <v>12954</v>
      </c>
      <c r="DT211" s="167"/>
      <c r="DU211" s="183">
        <v>347</v>
      </c>
      <c r="DV211" s="183">
        <v>-6335</v>
      </c>
      <c r="DW211" s="180">
        <v>8300</v>
      </c>
      <c r="DX211" s="130">
        <v>103343</v>
      </c>
      <c r="DY211" s="229">
        <v>90398</v>
      </c>
      <c r="DZ211" s="229">
        <v>5804</v>
      </c>
      <c r="EA211" s="229">
        <v>7141</v>
      </c>
      <c r="EB211" s="212">
        <v>19.75</v>
      </c>
      <c r="EC211" s="208"/>
      <c r="ED211" s="183">
        <v>200.088235294117</v>
      </c>
      <c r="EE211" s="3">
        <v>75578</v>
      </c>
      <c r="EF211" s="183">
        <v>78278</v>
      </c>
      <c r="EG211" s="130">
        <v>78161</v>
      </c>
      <c r="EH211" s="130"/>
      <c r="EI211" s="130"/>
      <c r="EJ211" s="130"/>
      <c r="EK211" s="183">
        <v>-9536</v>
      </c>
      <c r="EL211" s="183">
        <v>255</v>
      </c>
      <c r="EM211" s="183">
        <v>2827</v>
      </c>
      <c r="EN211" s="226">
        <v>-11560</v>
      </c>
      <c r="EO211" s="226">
        <v>167</v>
      </c>
      <c r="EP211" s="226">
        <v>3413</v>
      </c>
      <c r="EQ211" s="226">
        <v>-9312</v>
      </c>
      <c r="ER211" s="230">
        <v>177</v>
      </c>
      <c r="ES211" s="230">
        <v>4481</v>
      </c>
      <c r="ET211" s="3">
        <v>7000</v>
      </c>
      <c r="EU211" s="211">
        <v>12500</v>
      </c>
      <c r="EV211" s="183">
        <v>6000</v>
      </c>
      <c r="EW211" s="183">
        <v>5500</v>
      </c>
      <c r="EX211" s="130">
        <v>20000</v>
      </c>
      <c r="EY211" s="183">
        <v>-20100</v>
      </c>
      <c r="EZ211" s="3">
        <v>61430</v>
      </c>
      <c r="FA211" s="3">
        <v>23029</v>
      </c>
      <c r="FB211" s="3">
        <v>38401</v>
      </c>
      <c r="FC211" s="3">
        <v>7891</v>
      </c>
      <c r="FD211" s="226">
        <v>63528</v>
      </c>
      <c r="FE211" s="183">
        <v>26027</v>
      </c>
      <c r="FF211" s="183">
        <v>37501</v>
      </c>
      <c r="FG211" s="183">
        <v>7891</v>
      </c>
      <c r="FH211" s="230">
        <v>57094</v>
      </c>
      <c r="FI211" s="130">
        <v>33026</v>
      </c>
      <c r="FJ211" s="130">
        <v>24068</v>
      </c>
      <c r="FK211" s="130">
        <v>5191</v>
      </c>
      <c r="FL211" s="29">
        <v>3586.9385391678384</v>
      </c>
      <c r="FM211" s="139">
        <v>3611.1988693049552</v>
      </c>
      <c r="FN211" s="139">
        <v>3209.4481091490147</v>
      </c>
      <c r="FO211" s="172">
        <f t="shared" si="9"/>
        <v>4577.1139240506327</v>
      </c>
      <c r="FP211" s="170">
        <f t="shared" si="10"/>
        <v>187.53283582786221</v>
      </c>
      <c r="FR211" s="175"/>
      <c r="FS211" s="195"/>
      <c r="FV211" s="175">
        <v>1979</v>
      </c>
      <c r="FW211" s="2">
        <f t="shared" si="11"/>
        <v>-1979</v>
      </c>
      <c r="FZ211" s="186"/>
      <c r="GA211" s="2"/>
      <c r="GB211" s="2"/>
    </row>
    <row r="212" spans="1:184" ht="13" x14ac:dyDescent="0.3">
      <c r="A212" s="77">
        <v>681</v>
      </c>
      <c r="B212" s="75" t="s">
        <v>203</v>
      </c>
      <c r="C212" s="179">
        <v>3514</v>
      </c>
      <c r="D212" s="138"/>
      <c r="E212" s="142">
        <v>0.28737300435413643</v>
      </c>
      <c r="F212" s="142">
        <v>47.181859646836514</v>
      </c>
      <c r="G212" s="183">
        <v>-3273.7620944792257</v>
      </c>
      <c r="H212" s="144"/>
      <c r="I212" s="186"/>
      <c r="K212" s="210">
        <v>58.151212405036944</v>
      </c>
      <c r="L212" s="143">
        <v>380.19351166761527</v>
      </c>
      <c r="M212" s="146">
        <v>14.555983403480493</v>
      </c>
      <c r="N212" s="143">
        <v>9533.5799658508822</v>
      </c>
      <c r="O212" s="138">
        <v>7517</v>
      </c>
      <c r="P212" s="143">
        <v>7593</v>
      </c>
      <c r="Q212" s="184">
        <v>30571</v>
      </c>
      <c r="R212" s="184">
        <v>-22978</v>
      </c>
      <c r="S212" s="139">
        <v>10673</v>
      </c>
      <c r="T212" s="138">
        <v>12428</v>
      </c>
      <c r="U212" s="151"/>
      <c r="W212" s="183">
        <v>-95</v>
      </c>
      <c r="X212" s="183">
        <v>255</v>
      </c>
      <c r="Y212" s="184">
        <v>283</v>
      </c>
      <c r="Z212" s="130">
        <v>1639</v>
      </c>
      <c r="AA212" s="131">
        <v>0</v>
      </c>
      <c r="AB212" s="131">
        <v>0</v>
      </c>
      <c r="AC212" s="184">
        <v>-1356</v>
      </c>
      <c r="AD212" s="184">
        <v>0</v>
      </c>
      <c r="AE212" s="183">
        <v>0</v>
      </c>
      <c r="AF212" s="184">
        <v>0</v>
      </c>
      <c r="AG212" s="183">
        <v>-1356</v>
      </c>
      <c r="AH212" s="183">
        <v>-676</v>
      </c>
      <c r="AI212" s="183">
        <v>275</v>
      </c>
      <c r="AJ212" s="167"/>
      <c r="AK212" s="183">
        <v>453</v>
      </c>
      <c r="AL212" s="183">
        <v>-1265</v>
      </c>
      <c r="AM212" s="180">
        <v>-1131</v>
      </c>
      <c r="AN212" s="139">
        <v>10673</v>
      </c>
      <c r="AO212" s="138">
        <v>8548</v>
      </c>
      <c r="AP212" s="184">
        <v>1052</v>
      </c>
      <c r="AQ212" s="138">
        <v>1073</v>
      </c>
      <c r="AR212" s="109">
        <v>21</v>
      </c>
      <c r="AS212" s="144"/>
      <c r="AT212" s="139">
        <v>219</v>
      </c>
      <c r="AU212" s="228">
        <v>3431</v>
      </c>
      <c r="AV212" s="138"/>
      <c r="AW212" s="224">
        <v>1.4807621569925697</v>
      </c>
      <c r="AX212" s="225">
        <v>43.181747439848102</v>
      </c>
      <c r="AY212" s="139">
        <v>-3051.8799183911397</v>
      </c>
      <c r="AZ212" s="144"/>
      <c r="BA212"/>
      <c r="BC212" s="189">
        <v>59.769635690832331</v>
      </c>
      <c r="BD212" s="183">
        <v>637.71495190906444</v>
      </c>
      <c r="BE212" s="140">
        <v>24.257943016827653</v>
      </c>
      <c r="BF212" s="139">
        <v>9595.4532206353833</v>
      </c>
      <c r="BG212" s="184">
        <v>7297</v>
      </c>
      <c r="BH212" s="216">
        <v>8601</v>
      </c>
      <c r="BI212" s="216">
        <v>29995</v>
      </c>
      <c r="BJ212" s="216">
        <v>-21394</v>
      </c>
      <c r="BK212" s="216">
        <v>11514</v>
      </c>
      <c r="BL212" s="216">
        <v>12012</v>
      </c>
      <c r="BM212" s="151"/>
      <c r="BO212" s="216">
        <v>-98</v>
      </c>
      <c r="BP212" s="216">
        <v>359</v>
      </c>
      <c r="BQ212" s="216">
        <v>2393</v>
      </c>
      <c r="BR212" s="216">
        <v>1033</v>
      </c>
      <c r="BS212" s="216">
        <v>0</v>
      </c>
      <c r="BT212" s="216">
        <v>0</v>
      </c>
      <c r="BU212" s="216">
        <v>1360</v>
      </c>
      <c r="BV212" s="184">
        <v>0</v>
      </c>
      <c r="BW212" s="183">
        <v>0</v>
      </c>
      <c r="BX212" s="184">
        <v>0</v>
      </c>
      <c r="BY212" s="183">
        <v>1360</v>
      </c>
      <c r="BZ212" s="183">
        <v>684</v>
      </c>
      <c r="CA212" s="183">
        <v>701</v>
      </c>
      <c r="CB212" s="167"/>
      <c r="CC212" s="183">
        <v>429</v>
      </c>
      <c r="CD212" s="183">
        <v>-1500</v>
      </c>
      <c r="CE212" s="180">
        <v>986</v>
      </c>
      <c r="CF212" s="139">
        <v>11514</v>
      </c>
      <c r="CG212" s="216">
        <v>9179</v>
      </c>
      <c r="CH212" s="216">
        <v>1143</v>
      </c>
      <c r="CI212" s="216">
        <v>1192</v>
      </c>
      <c r="CJ212" s="212">
        <v>21.5</v>
      </c>
      <c r="CK212" s="144"/>
      <c r="CL212" s="130">
        <v>11</v>
      </c>
      <c r="CM212" s="228">
        <v>3364</v>
      </c>
      <c r="CN212" s="138"/>
      <c r="CO212" s="142">
        <v>2.1394996209249433</v>
      </c>
      <c r="CP212" s="142">
        <v>36.43010752688172</v>
      </c>
      <c r="CQ212" s="183">
        <v>-2399.8216409036859</v>
      </c>
      <c r="CR212" s="144"/>
      <c r="CS212"/>
      <c r="CU212" s="232">
        <v>64.616628486726853</v>
      </c>
      <c r="CV212" s="143">
        <v>780.61831153388823</v>
      </c>
      <c r="CW212" s="146">
        <v>29.696678646672449</v>
      </c>
      <c r="CX212" s="143">
        <v>9594.5303210463735</v>
      </c>
      <c r="CY212" s="131">
        <v>6862</v>
      </c>
      <c r="CZ212" s="229">
        <v>7709</v>
      </c>
      <c r="DA212" s="229">
        <v>30155</v>
      </c>
      <c r="DB212" s="216">
        <v>-22446</v>
      </c>
      <c r="DC212" s="229">
        <v>12159</v>
      </c>
      <c r="DD212" s="229">
        <v>12682</v>
      </c>
      <c r="DE212" s="151"/>
      <c r="DG212" s="229">
        <v>-66</v>
      </c>
      <c r="DH212" s="229">
        <v>401</v>
      </c>
      <c r="DI212" s="229">
        <v>2730</v>
      </c>
      <c r="DJ212" s="229">
        <v>1674</v>
      </c>
      <c r="DK212" s="229">
        <v>0</v>
      </c>
      <c r="DL212" s="229">
        <v>0</v>
      </c>
      <c r="DM212" s="229">
        <v>1056</v>
      </c>
      <c r="DN212" s="131">
        <v>0</v>
      </c>
      <c r="DO212" s="130">
        <v>0</v>
      </c>
      <c r="DP212" s="131">
        <v>0</v>
      </c>
      <c r="DQ212" s="130">
        <v>1056</v>
      </c>
      <c r="DR212" s="130">
        <v>1741</v>
      </c>
      <c r="DS212" s="130">
        <v>2024</v>
      </c>
      <c r="DT212" s="167"/>
      <c r="DU212" s="183">
        <v>47</v>
      </c>
      <c r="DV212" s="183">
        <v>-1227</v>
      </c>
      <c r="DW212" s="180">
        <v>2347</v>
      </c>
      <c r="DX212" s="130">
        <v>12159</v>
      </c>
      <c r="DY212" s="229">
        <v>9618</v>
      </c>
      <c r="DZ212" s="229">
        <v>1315</v>
      </c>
      <c r="EA212" s="229">
        <v>1226</v>
      </c>
      <c r="EB212" s="212">
        <v>22</v>
      </c>
      <c r="EC212" s="208"/>
      <c r="ED212" s="183">
        <v>80.213235294117695</v>
      </c>
      <c r="EE212" s="3">
        <v>20660</v>
      </c>
      <c r="EF212" s="183">
        <v>20556</v>
      </c>
      <c r="EG212" s="130">
        <v>20869</v>
      </c>
      <c r="EH212" s="130"/>
      <c r="EI212" s="130">
        <v>480</v>
      </c>
      <c r="EJ212" s="130"/>
      <c r="EK212" s="183">
        <v>-1522</v>
      </c>
      <c r="EL212" s="183">
        <v>62</v>
      </c>
      <c r="EM212" s="183">
        <v>54</v>
      </c>
      <c r="EN212" s="226">
        <v>-1279</v>
      </c>
      <c r="EO212" s="226">
        <v>0</v>
      </c>
      <c r="EP212" s="226">
        <v>1564</v>
      </c>
      <c r="EQ212" s="226">
        <v>-800</v>
      </c>
      <c r="ER212" s="230">
        <v>170</v>
      </c>
      <c r="ES212" s="230">
        <v>953</v>
      </c>
      <c r="ET212" s="3">
        <v>1000</v>
      </c>
      <c r="EU212" s="211">
        <v>800</v>
      </c>
      <c r="EV212" s="183">
        <v>2800</v>
      </c>
      <c r="EW212" s="183">
        <v>-1270</v>
      </c>
      <c r="EX212" s="130">
        <v>0</v>
      </c>
      <c r="EY212" s="183">
        <v>-1236</v>
      </c>
      <c r="EZ212" s="3">
        <v>11073</v>
      </c>
      <c r="FA212" s="3">
        <v>6442</v>
      </c>
      <c r="FB212" s="3">
        <v>4631</v>
      </c>
      <c r="FC212" s="3">
        <v>1201</v>
      </c>
      <c r="FD212" s="226">
        <v>11102</v>
      </c>
      <c r="FE212" s="183">
        <v>7791</v>
      </c>
      <c r="FF212" s="183">
        <v>3311</v>
      </c>
      <c r="FG212" s="183">
        <v>1165</v>
      </c>
      <c r="FH212" s="230">
        <v>8639</v>
      </c>
      <c r="FI212" s="130">
        <v>6564</v>
      </c>
      <c r="FJ212" s="130">
        <v>2075</v>
      </c>
      <c r="FK212" s="130">
        <v>1143</v>
      </c>
      <c r="FL212" s="29">
        <v>3633.4661354581672</v>
      </c>
      <c r="FM212" s="139">
        <v>3617.0212765957449</v>
      </c>
      <c r="FN212" s="139">
        <v>3198.8703923900121</v>
      </c>
      <c r="FO212" s="172">
        <f t="shared" si="9"/>
        <v>437.18181818181819</v>
      </c>
      <c r="FP212" s="170">
        <f t="shared" si="10"/>
        <v>129.9589233596368</v>
      </c>
      <c r="FR212" s="175"/>
      <c r="FS212" s="195"/>
      <c r="FV212" s="175">
        <v>936</v>
      </c>
      <c r="FW212" s="2">
        <f t="shared" si="11"/>
        <v>-936</v>
      </c>
      <c r="FZ212" s="186"/>
      <c r="GA212" s="2"/>
      <c r="GB212" s="2"/>
    </row>
    <row r="213" spans="1:184" ht="13" x14ac:dyDescent="0.3">
      <c r="A213" s="77">
        <v>683</v>
      </c>
      <c r="B213" s="75" t="s">
        <v>204</v>
      </c>
      <c r="C213" s="179">
        <v>3896</v>
      </c>
      <c r="D213" s="138"/>
      <c r="E213" s="142">
        <v>3.5</v>
      </c>
      <c r="F213" s="142">
        <v>26.063560959657519</v>
      </c>
      <c r="G213" s="183">
        <v>1643.2238193018479</v>
      </c>
      <c r="H213" s="144"/>
      <c r="I213" s="186"/>
      <c r="K213" s="210">
        <v>76.002617301453142</v>
      </c>
      <c r="L213" s="143">
        <v>3078.2854209445586</v>
      </c>
      <c r="M213" s="146">
        <v>130.77540106951872</v>
      </c>
      <c r="N213" s="143">
        <v>8591.6324435318274</v>
      </c>
      <c r="O213" s="138">
        <v>15390</v>
      </c>
      <c r="P213" s="143">
        <v>3821</v>
      </c>
      <c r="Q213" s="184">
        <v>32002</v>
      </c>
      <c r="R213" s="184">
        <v>-28181</v>
      </c>
      <c r="S213" s="139">
        <v>9297</v>
      </c>
      <c r="T213" s="138">
        <v>20519</v>
      </c>
      <c r="U213" s="151"/>
      <c r="W213" s="183">
        <v>-34</v>
      </c>
      <c r="X213" s="183">
        <v>44</v>
      </c>
      <c r="Y213" s="184">
        <v>1645</v>
      </c>
      <c r="Z213" s="130">
        <v>7650</v>
      </c>
      <c r="AA213" s="130">
        <v>0</v>
      </c>
      <c r="AB213" s="130">
        <v>0</v>
      </c>
      <c r="AC213" s="184">
        <v>-6005</v>
      </c>
      <c r="AD213" s="183">
        <v>365</v>
      </c>
      <c r="AE213" s="183">
        <v>4600</v>
      </c>
      <c r="AF213" s="183">
        <v>0</v>
      </c>
      <c r="AG213" s="183">
        <v>-1040</v>
      </c>
      <c r="AH213" s="183">
        <v>12326</v>
      </c>
      <c r="AI213" s="183">
        <v>1631</v>
      </c>
      <c r="AJ213" s="167"/>
      <c r="AK213" s="183">
        <v>440</v>
      </c>
      <c r="AL213" s="183">
        <v>-420</v>
      </c>
      <c r="AM213" s="180">
        <v>749</v>
      </c>
      <c r="AN213" s="139">
        <v>9297</v>
      </c>
      <c r="AO213" s="138">
        <v>7829</v>
      </c>
      <c r="AP213" s="184">
        <v>589</v>
      </c>
      <c r="AQ213" s="138">
        <v>879</v>
      </c>
      <c r="AR213" s="109">
        <v>19.75</v>
      </c>
      <c r="AS213" s="144"/>
      <c r="AT213" s="139">
        <v>65</v>
      </c>
      <c r="AU213" s="228">
        <v>3783</v>
      </c>
      <c r="AV213" s="138"/>
      <c r="AW213" s="224">
        <v>1.6192605331040413</v>
      </c>
      <c r="AX213" s="225">
        <v>21.934162399414777</v>
      </c>
      <c r="AY213" s="139">
        <v>1644.4620671424796</v>
      </c>
      <c r="AZ213" s="144"/>
      <c r="BA213"/>
      <c r="BC213" s="189">
        <v>77.945876213094081</v>
      </c>
      <c r="BD213" s="183">
        <v>3003.1720856463126</v>
      </c>
      <c r="BE213" s="140">
        <v>118.90024658791145</v>
      </c>
      <c r="BF213" s="139">
        <v>9219.1382500660857</v>
      </c>
      <c r="BG213" s="184">
        <v>14625</v>
      </c>
      <c r="BH213" s="216">
        <v>3723</v>
      </c>
      <c r="BI213" s="216">
        <v>33340</v>
      </c>
      <c r="BJ213" s="216">
        <v>-29617</v>
      </c>
      <c r="BK213" s="216">
        <v>9772</v>
      </c>
      <c r="BL213" s="216">
        <v>20680</v>
      </c>
      <c r="BM213" s="151"/>
      <c r="BO213" s="216">
        <v>-11</v>
      </c>
      <c r="BP213" s="216">
        <v>291</v>
      </c>
      <c r="BQ213" s="216">
        <v>1115</v>
      </c>
      <c r="BR213" s="216">
        <v>2244</v>
      </c>
      <c r="BS213" s="216">
        <v>0</v>
      </c>
      <c r="BT213" s="216">
        <v>0</v>
      </c>
      <c r="BU213" s="216">
        <v>-1129</v>
      </c>
      <c r="BV213" s="183">
        <v>393</v>
      </c>
      <c r="BW213" s="183">
        <v>0</v>
      </c>
      <c r="BX213" s="183">
        <v>0</v>
      </c>
      <c r="BY213" s="183">
        <v>-736</v>
      </c>
      <c r="BZ213" s="183">
        <v>11427</v>
      </c>
      <c r="CA213" s="183">
        <v>1230</v>
      </c>
      <c r="CB213" s="167"/>
      <c r="CC213" s="183">
        <v>807</v>
      </c>
      <c r="CD213" s="183">
        <v>-361</v>
      </c>
      <c r="CE213" s="180">
        <v>177</v>
      </c>
      <c r="CF213" s="139">
        <v>9772</v>
      </c>
      <c r="CG213" s="216">
        <v>8100</v>
      </c>
      <c r="CH213" s="216">
        <v>646</v>
      </c>
      <c r="CI213" s="216">
        <v>1026</v>
      </c>
      <c r="CJ213" s="212">
        <v>19.75</v>
      </c>
      <c r="CK213" s="144"/>
      <c r="CL213" s="130">
        <v>89</v>
      </c>
      <c r="CM213" s="228">
        <v>3712</v>
      </c>
      <c r="CN213" s="138"/>
      <c r="CO213" s="142">
        <v>5.441919191919192</v>
      </c>
      <c r="CP213" s="142">
        <v>20.301507537688444</v>
      </c>
      <c r="CQ213" s="183">
        <v>1971.9827586206898</v>
      </c>
      <c r="CR213" s="144"/>
      <c r="CS213"/>
      <c r="CU213" s="232">
        <v>79.075035123433778</v>
      </c>
      <c r="CV213" s="143">
        <v>3179.1487068965516</v>
      </c>
      <c r="CW213" s="146">
        <v>120.41500097844623</v>
      </c>
      <c r="CX213" s="143">
        <v>9636.5840517241377</v>
      </c>
      <c r="CY213" s="131">
        <v>14387</v>
      </c>
      <c r="CZ213" s="229">
        <v>3523</v>
      </c>
      <c r="DA213" s="229">
        <v>33783</v>
      </c>
      <c r="DB213" s="216">
        <v>-30260</v>
      </c>
      <c r="DC213" s="229">
        <v>10232</v>
      </c>
      <c r="DD213" s="229">
        <v>22065</v>
      </c>
      <c r="DE213" s="151"/>
      <c r="DG213" s="229">
        <v>-6</v>
      </c>
      <c r="DH213" s="229">
        <v>73</v>
      </c>
      <c r="DI213" s="229">
        <v>2104</v>
      </c>
      <c r="DJ213" s="229">
        <v>1110</v>
      </c>
      <c r="DK213" s="229">
        <v>0</v>
      </c>
      <c r="DL213" s="229">
        <v>0</v>
      </c>
      <c r="DM213" s="229">
        <v>994</v>
      </c>
      <c r="DN213" s="130">
        <v>123</v>
      </c>
      <c r="DO213" s="130">
        <v>0</v>
      </c>
      <c r="DP213" s="130">
        <v>0</v>
      </c>
      <c r="DQ213" s="130">
        <v>1117</v>
      </c>
      <c r="DR213" s="130">
        <v>12544</v>
      </c>
      <c r="DS213" s="130">
        <v>2100</v>
      </c>
      <c r="DT213" s="167"/>
      <c r="DU213" s="183">
        <v>-155</v>
      </c>
      <c r="DV213" s="183">
        <v>-345</v>
      </c>
      <c r="DW213" s="180">
        <v>958</v>
      </c>
      <c r="DX213" s="130">
        <v>10232</v>
      </c>
      <c r="DY213" s="229">
        <v>8589</v>
      </c>
      <c r="DZ213" s="229">
        <v>741</v>
      </c>
      <c r="EA213" s="229">
        <v>902</v>
      </c>
      <c r="EB213" s="212">
        <v>19.75</v>
      </c>
      <c r="EC213" s="208"/>
      <c r="ED213" s="183">
        <v>199.08088235294099</v>
      </c>
      <c r="EE213" s="3">
        <v>11343</v>
      </c>
      <c r="EF213" s="183">
        <v>12422</v>
      </c>
      <c r="EG213" s="130">
        <v>12503</v>
      </c>
      <c r="EH213" s="130"/>
      <c r="EI213" s="130"/>
      <c r="EJ213" s="130"/>
      <c r="EK213" s="183">
        <v>-897</v>
      </c>
      <c r="EL213" s="183">
        <v>0</v>
      </c>
      <c r="EM213" s="183">
        <v>15</v>
      </c>
      <c r="EN213" s="226">
        <v>-1112</v>
      </c>
      <c r="EO213" s="226">
        <v>0</v>
      </c>
      <c r="EP213" s="226">
        <v>59</v>
      </c>
      <c r="EQ213" s="226">
        <v>-1148</v>
      </c>
      <c r="ER213" s="230">
        <v>0</v>
      </c>
      <c r="ES213" s="230">
        <v>6</v>
      </c>
      <c r="ET213" s="3">
        <v>0</v>
      </c>
      <c r="EU213" s="211">
        <v>0</v>
      </c>
      <c r="EV213" s="183">
        <v>0</v>
      </c>
      <c r="EW213" s="183">
        <v>0</v>
      </c>
      <c r="EX213" s="130">
        <v>0</v>
      </c>
      <c r="EY213" s="183">
        <v>0</v>
      </c>
      <c r="EZ213" s="3">
        <v>3741</v>
      </c>
      <c r="FA213" s="3">
        <v>3380</v>
      </c>
      <c r="FB213" s="3">
        <v>361</v>
      </c>
      <c r="FC213" s="3">
        <v>0</v>
      </c>
      <c r="FD213" s="226">
        <v>3380</v>
      </c>
      <c r="FE213" s="183">
        <v>3035</v>
      </c>
      <c r="FF213" s="183">
        <v>345</v>
      </c>
      <c r="FG213" s="183">
        <v>0</v>
      </c>
      <c r="FH213" s="230">
        <v>3035</v>
      </c>
      <c r="FI213" s="130">
        <v>2690</v>
      </c>
      <c r="FJ213" s="130">
        <v>345</v>
      </c>
      <c r="FK213" s="130">
        <v>0</v>
      </c>
      <c r="FL213" s="29">
        <v>4533.6242299794667</v>
      </c>
      <c r="FM213" s="139">
        <v>4545.5987311657409</v>
      </c>
      <c r="FN213" s="139">
        <v>4625</v>
      </c>
      <c r="FO213" s="172">
        <f t="shared" si="9"/>
        <v>434.88607594936707</v>
      </c>
      <c r="FP213" s="170">
        <f t="shared" si="10"/>
        <v>117.15680925360104</v>
      </c>
      <c r="FR213" s="175"/>
      <c r="FS213" s="195"/>
      <c r="FV213" s="175">
        <v>393</v>
      </c>
      <c r="FW213" s="2">
        <f t="shared" si="11"/>
        <v>-393</v>
      </c>
      <c r="FZ213" s="186"/>
      <c r="GA213" s="2"/>
      <c r="GB213" s="2"/>
    </row>
    <row r="214" spans="1:184" ht="13" x14ac:dyDescent="0.3">
      <c r="A214" s="77">
        <v>684</v>
      </c>
      <c r="B214" s="75" t="s">
        <v>205</v>
      </c>
      <c r="C214" s="179">
        <v>39360</v>
      </c>
      <c r="D214" s="138"/>
      <c r="E214" s="142">
        <v>7.185227272727273</v>
      </c>
      <c r="F214" s="142">
        <v>23.962264150943398</v>
      </c>
      <c r="G214" s="183">
        <v>-993.24186991869919</v>
      </c>
      <c r="H214" s="144"/>
      <c r="I214" s="186"/>
      <c r="K214" s="210">
        <v>78.221409364805439</v>
      </c>
      <c r="L214" s="143">
        <v>308.05386178861789</v>
      </c>
      <c r="M214" s="146">
        <v>15.143129411845216</v>
      </c>
      <c r="N214" s="143">
        <v>7425.127032520325</v>
      </c>
      <c r="O214" s="138">
        <v>124280</v>
      </c>
      <c r="P214" s="143">
        <v>51348</v>
      </c>
      <c r="Q214" s="184">
        <v>264111</v>
      </c>
      <c r="R214" s="184">
        <v>-212763</v>
      </c>
      <c r="S214" s="139">
        <v>173749</v>
      </c>
      <c r="T214" s="138">
        <v>42553</v>
      </c>
      <c r="U214" s="151"/>
      <c r="W214" s="183">
        <v>2201</v>
      </c>
      <c r="X214" s="183">
        <v>439</v>
      </c>
      <c r="Y214" s="184">
        <v>6179</v>
      </c>
      <c r="Z214" s="130">
        <v>21782</v>
      </c>
      <c r="AA214" s="130">
        <v>0</v>
      </c>
      <c r="AB214" s="130">
        <v>0</v>
      </c>
      <c r="AC214" s="184">
        <v>-15603</v>
      </c>
      <c r="AD214" s="184">
        <v>64</v>
      </c>
      <c r="AE214" s="183">
        <v>0</v>
      </c>
      <c r="AF214" s="183">
        <v>0</v>
      </c>
      <c r="AG214" s="183">
        <v>-15539</v>
      </c>
      <c r="AH214" s="183">
        <v>107844</v>
      </c>
      <c r="AI214" s="183">
        <v>5638</v>
      </c>
      <c r="AJ214" s="167"/>
      <c r="AK214" s="183">
        <v>1271</v>
      </c>
      <c r="AL214" s="183">
        <v>-736</v>
      </c>
      <c r="AM214" s="180">
        <v>-20553</v>
      </c>
      <c r="AN214" s="139">
        <v>173749</v>
      </c>
      <c r="AO214" s="138">
        <v>148518</v>
      </c>
      <c r="AP214" s="184">
        <v>17086</v>
      </c>
      <c r="AQ214" s="138">
        <v>8145</v>
      </c>
      <c r="AR214" s="109">
        <v>20</v>
      </c>
      <c r="AS214" s="144"/>
      <c r="AT214" s="139">
        <v>193</v>
      </c>
      <c r="AU214" s="228">
        <v>39205</v>
      </c>
      <c r="AV214" s="138"/>
      <c r="AW214" s="224">
        <v>0.31543054230955148</v>
      </c>
      <c r="AX214" s="225">
        <v>39.074695524301497</v>
      </c>
      <c r="AY214" s="139">
        <v>-1847.8765463588827</v>
      </c>
      <c r="AZ214" s="144"/>
      <c r="BA214"/>
      <c r="BC214" s="189">
        <v>69.096543771421253</v>
      </c>
      <c r="BD214" s="183">
        <v>468.40964162734343</v>
      </c>
      <c r="BE214" s="140">
        <v>21.94665636377924</v>
      </c>
      <c r="BF214" s="139">
        <v>7790.2308379033284</v>
      </c>
      <c r="BG214" s="184">
        <v>125508</v>
      </c>
      <c r="BH214" s="216">
        <v>51217</v>
      </c>
      <c r="BI214" s="216">
        <v>265687</v>
      </c>
      <c r="BJ214" s="216">
        <v>-214470</v>
      </c>
      <c r="BK214" s="216">
        <v>169603</v>
      </c>
      <c r="BL214" s="216">
        <v>44390</v>
      </c>
      <c r="BM214" s="151"/>
      <c r="BO214" s="216">
        <v>2089</v>
      </c>
      <c r="BP214" s="216">
        <v>1118</v>
      </c>
      <c r="BQ214" s="216">
        <v>2730</v>
      </c>
      <c r="BR214" s="216">
        <v>18109</v>
      </c>
      <c r="BS214" s="216">
        <v>1590</v>
      </c>
      <c r="BT214" s="216">
        <v>0</v>
      </c>
      <c r="BU214" s="216">
        <v>-13789</v>
      </c>
      <c r="BV214" s="184">
        <v>64</v>
      </c>
      <c r="BW214" s="183">
        <v>0</v>
      </c>
      <c r="BX214" s="183">
        <v>0</v>
      </c>
      <c r="BY214" s="183">
        <v>-13725</v>
      </c>
      <c r="BZ214" s="183">
        <v>93896</v>
      </c>
      <c r="CA214" s="183">
        <v>2679</v>
      </c>
      <c r="CB214" s="167"/>
      <c r="CC214" s="183">
        <v>96</v>
      </c>
      <c r="CD214" s="183">
        <v>-1828</v>
      </c>
      <c r="CE214" s="180">
        <v>-23394</v>
      </c>
      <c r="CF214" s="139">
        <v>169603</v>
      </c>
      <c r="CG214" s="216">
        <v>147238</v>
      </c>
      <c r="CH214" s="216">
        <v>13614</v>
      </c>
      <c r="CI214" s="216">
        <v>8751</v>
      </c>
      <c r="CJ214" s="212">
        <v>20</v>
      </c>
      <c r="CK214" s="144"/>
      <c r="CL214" s="130">
        <v>199</v>
      </c>
      <c r="CM214" s="228">
        <v>39040</v>
      </c>
      <c r="CN214" s="138"/>
      <c r="CO214" s="142">
        <v>6.3409243134628266</v>
      </c>
      <c r="CP214" s="142">
        <v>31.517558917854338</v>
      </c>
      <c r="CQ214" s="183">
        <v>-1321.798155737705</v>
      </c>
      <c r="CR214" s="144"/>
      <c r="CS214"/>
      <c r="CU214" s="232">
        <v>72.347131531971613</v>
      </c>
      <c r="CV214" s="143">
        <v>761.21926229508199</v>
      </c>
      <c r="CW214" s="146">
        <v>37.340596922441392</v>
      </c>
      <c r="CX214" s="143">
        <v>7440.8299180327867</v>
      </c>
      <c r="CY214" s="131">
        <v>124075</v>
      </c>
      <c r="CZ214" s="229">
        <v>50910</v>
      </c>
      <c r="DA214" s="229">
        <v>266240</v>
      </c>
      <c r="DB214" s="216">
        <v>-215330</v>
      </c>
      <c r="DC214" s="229">
        <v>183340</v>
      </c>
      <c r="DD214" s="229">
        <v>66338</v>
      </c>
      <c r="DE214" s="151"/>
      <c r="DG214" s="229">
        <v>2416</v>
      </c>
      <c r="DH214" s="229">
        <v>725</v>
      </c>
      <c r="DI214" s="229">
        <v>37489</v>
      </c>
      <c r="DJ214" s="229">
        <v>18461</v>
      </c>
      <c r="DK214" s="229">
        <v>550</v>
      </c>
      <c r="DL214" s="229">
        <v>0</v>
      </c>
      <c r="DM214" s="229">
        <v>19578</v>
      </c>
      <c r="DN214" s="131">
        <v>64</v>
      </c>
      <c r="DO214" s="130">
        <v>-15000</v>
      </c>
      <c r="DP214" s="130">
        <v>0</v>
      </c>
      <c r="DQ214" s="130">
        <v>4642</v>
      </c>
      <c r="DR214" s="130">
        <v>98538</v>
      </c>
      <c r="DS214" s="130">
        <v>35304</v>
      </c>
      <c r="DT214" s="167"/>
      <c r="DU214" s="183">
        <v>-596</v>
      </c>
      <c r="DV214" s="183">
        <v>-5593</v>
      </c>
      <c r="DW214" s="180">
        <v>20184</v>
      </c>
      <c r="DX214" s="130">
        <v>183340</v>
      </c>
      <c r="DY214" s="229">
        <v>159165</v>
      </c>
      <c r="DZ214" s="229">
        <v>16221</v>
      </c>
      <c r="EA214" s="229">
        <v>7954</v>
      </c>
      <c r="EB214" s="212">
        <v>21</v>
      </c>
      <c r="EC214" s="208"/>
      <c r="ED214" s="183">
        <v>45.963235294117702</v>
      </c>
      <c r="EE214" s="3">
        <v>100372</v>
      </c>
      <c r="EF214" s="183">
        <v>100599</v>
      </c>
      <c r="EG214" s="130">
        <v>101614</v>
      </c>
      <c r="EH214" s="130"/>
      <c r="EI214" s="130"/>
      <c r="EJ214" s="130"/>
      <c r="EK214" s="183">
        <v>-27142</v>
      </c>
      <c r="EL214" s="183">
        <v>315</v>
      </c>
      <c r="EM214" s="183">
        <v>636</v>
      </c>
      <c r="EN214" s="226">
        <v>-27462</v>
      </c>
      <c r="EO214" s="226">
        <v>375</v>
      </c>
      <c r="EP214" s="226">
        <v>1014</v>
      </c>
      <c r="EQ214" s="226">
        <v>-18268</v>
      </c>
      <c r="ER214" s="230">
        <v>387</v>
      </c>
      <c r="ES214" s="230">
        <v>2761</v>
      </c>
      <c r="ET214" s="3">
        <v>11000</v>
      </c>
      <c r="EU214" s="211">
        <v>-500</v>
      </c>
      <c r="EV214" s="183">
        <v>38000</v>
      </c>
      <c r="EW214" s="183">
        <v>3500</v>
      </c>
      <c r="EX214" s="130">
        <v>0</v>
      </c>
      <c r="EY214" s="183">
        <v>-5000</v>
      </c>
      <c r="EZ214" s="3">
        <v>21254</v>
      </c>
      <c r="FA214" s="3">
        <v>17926</v>
      </c>
      <c r="FB214" s="3">
        <v>3328</v>
      </c>
      <c r="FC214" s="3">
        <v>48210</v>
      </c>
      <c r="FD214" s="226">
        <v>60926</v>
      </c>
      <c r="FE214" s="183">
        <v>50342</v>
      </c>
      <c r="FF214" s="183">
        <v>10584</v>
      </c>
      <c r="FG214" s="183">
        <v>58167</v>
      </c>
      <c r="FH214" s="230">
        <v>50334</v>
      </c>
      <c r="FI214" s="130">
        <v>44767</v>
      </c>
      <c r="FJ214" s="130">
        <v>5567</v>
      </c>
      <c r="FK214" s="130">
        <v>58117</v>
      </c>
      <c r="FL214" s="29">
        <v>2138.9227642276423</v>
      </c>
      <c r="FM214" s="139">
        <v>3271.9296008162228</v>
      </c>
      <c r="FN214" s="139">
        <v>2991.342213114754</v>
      </c>
      <c r="FO214" s="172">
        <f t="shared" si="9"/>
        <v>7579.2857142857147</v>
      </c>
      <c r="FP214" s="170">
        <f t="shared" si="10"/>
        <v>194.14153981264636</v>
      </c>
      <c r="FR214" s="175"/>
      <c r="FS214" s="195"/>
      <c r="FV214" s="175">
        <v>222</v>
      </c>
      <c r="FW214" s="2">
        <f t="shared" si="11"/>
        <v>-222</v>
      </c>
      <c r="FZ214" s="186"/>
      <c r="GA214" s="2"/>
      <c r="GB214" s="2"/>
    </row>
    <row r="215" spans="1:184" ht="13" x14ac:dyDescent="0.3">
      <c r="A215" s="77">
        <v>686</v>
      </c>
      <c r="B215" s="75" t="s">
        <v>206</v>
      </c>
      <c r="C215" s="179">
        <v>3196</v>
      </c>
      <c r="D215" s="138"/>
      <c r="E215" s="142">
        <v>0.49357798165137617</v>
      </c>
      <c r="F215" s="142">
        <v>55.787638054640574</v>
      </c>
      <c r="G215" s="183">
        <v>-3505.0062578222783</v>
      </c>
      <c r="H215" s="144"/>
      <c r="I215" s="186"/>
      <c r="K215" s="210">
        <v>47.951703320396724</v>
      </c>
      <c r="L215" s="143">
        <v>429.59949937421777</v>
      </c>
      <c r="M215" s="146">
        <v>16.99718491385158</v>
      </c>
      <c r="N215" s="143">
        <v>9225.2816020025039</v>
      </c>
      <c r="O215" s="138">
        <v>8221</v>
      </c>
      <c r="P215" s="143">
        <v>3336</v>
      </c>
      <c r="Q215" s="184">
        <v>25340</v>
      </c>
      <c r="R215" s="184">
        <v>-22004</v>
      </c>
      <c r="S215" s="139">
        <v>10337</v>
      </c>
      <c r="T215" s="138">
        <v>12132</v>
      </c>
      <c r="U215" s="151"/>
      <c r="W215" s="183">
        <v>-131</v>
      </c>
      <c r="X215" s="183">
        <v>342</v>
      </c>
      <c r="Y215" s="184">
        <v>676</v>
      </c>
      <c r="Z215" s="130">
        <v>985</v>
      </c>
      <c r="AA215" s="130">
        <v>95</v>
      </c>
      <c r="AB215" s="130">
        <v>0</v>
      </c>
      <c r="AC215" s="184">
        <v>-214</v>
      </c>
      <c r="AD215" s="184">
        <v>0</v>
      </c>
      <c r="AE215" s="184">
        <v>0</v>
      </c>
      <c r="AF215" s="183">
        <v>0</v>
      </c>
      <c r="AG215" s="183">
        <v>-214</v>
      </c>
      <c r="AH215" s="183">
        <v>5268</v>
      </c>
      <c r="AI215" s="183">
        <v>771</v>
      </c>
      <c r="AJ215" s="167"/>
      <c r="AK215" s="183">
        <v>465</v>
      </c>
      <c r="AL215" s="183">
        <v>-1504</v>
      </c>
      <c r="AM215" s="180">
        <v>-1589</v>
      </c>
      <c r="AN215" s="139">
        <v>10337</v>
      </c>
      <c r="AO215" s="138">
        <v>8488</v>
      </c>
      <c r="AP215" s="184">
        <v>727</v>
      </c>
      <c r="AQ215" s="138">
        <v>1122</v>
      </c>
      <c r="AR215" s="109">
        <v>22</v>
      </c>
      <c r="AS215" s="144"/>
      <c r="AT215" s="139">
        <v>161</v>
      </c>
      <c r="AU215" s="228">
        <v>3121</v>
      </c>
      <c r="AV215" s="138"/>
      <c r="AW215" s="224">
        <v>-1.6318759774257157E-2</v>
      </c>
      <c r="AX215" s="225">
        <v>59.720147787123651</v>
      </c>
      <c r="AY215" s="139">
        <v>-4323.6142262095482</v>
      </c>
      <c r="AZ215" s="144"/>
      <c r="BA215"/>
      <c r="BC215" s="189">
        <v>44.182418459529082</v>
      </c>
      <c r="BD215" s="183">
        <v>53.508490868311434</v>
      </c>
      <c r="BE215" s="140">
        <v>2.0572055349308132</v>
      </c>
      <c r="BF215" s="139">
        <v>9493.7520025632803</v>
      </c>
      <c r="BG215" s="184">
        <v>8308</v>
      </c>
      <c r="BH215" s="216">
        <v>3255</v>
      </c>
      <c r="BI215" s="216">
        <v>25818</v>
      </c>
      <c r="BJ215" s="216">
        <v>-22563</v>
      </c>
      <c r="BK215" s="216">
        <v>10524</v>
      </c>
      <c r="BL215" s="216">
        <v>11663</v>
      </c>
      <c r="BM215" s="151"/>
      <c r="BO215" s="216">
        <v>-137</v>
      </c>
      <c r="BP215" s="216">
        <v>346</v>
      </c>
      <c r="BQ215" s="216">
        <v>-167</v>
      </c>
      <c r="BR215" s="216">
        <v>986</v>
      </c>
      <c r="BS215" s="216">
        <v>0</v>
      </c>
      <c r="BT215" s="216">
        <v>13</v>
      </c>
      <c r="BU215" s="216">
        <v>-1166</v>
      </c>
      <c r="BV215" s="184">
        <v>0</v>
      </c>
      <c r="BW215" s="184">
        <v>0</v>
      </c>
      <c r="BX215" s="183">
        <v>0</v>
      </c>
      <c r="BY215" s="183">
        <v>-1166</v>
      </c>
      <c r="BZ215" s="183">
        <v>4102</v>
      </c>
      <c r="CA215" s="183">
        <v>-87</v>
      </c>
      <c r="CB215" s="167"/>
      <c r="CC215" s="183">
        <v>288</v>
      </c>
      <c r="CD215" s="183">
        <v>-1380</v>
      </c>
      <c r="CE215" s="180">
        <v>-2273</v>
      </c>
      <c r="CF215" s="139">
        <v>10524</v>
      </c>
      <c r="CG215" s="216">
        <v>8603</v>
      </c>
      <c r="CH215" s="216">
        <v>762</v>
      </c>
      <c r="CI215" s="216">
        <v>1159</v>
      </c>
      <c r="CJ215" s="212">
        <v>22</v>
      </c>
      <c r="CK215" s="144"/>
      <c r="CL215" s="130">
        <v>246</v>
      </c>
      <c r="CM215" s="228">
        <v>3053</v>
      </c>
      <c r="CN215" s="138"/>
      <c r="CO215" s="142">
        <v>0.65240963855421685</v>
      </c>
      <c r="CP215" s="142">
        <v>58.131449080305067</v>
      </c>
      <c r="CQ215" s="183">
        <v>-4439.5676383884702</v>
      </c>
      <c r="CR215" s="144"/>
      <c r="CS215"/>
      <c r="CU215" s="232">
        <v>43.165127608521779</v>
      </c>
      <c r="CV215" s="143">
        <v>256.14150016377334</v>
      </c>
      <c r="CW215" s="146">
        <v>9.9804188957655864</v>
      </c>
      <c r="CX215" s="143">
        <v>9367.5073698001961</v>
      </c>
      <c r="CY215" s="131">
        <v>8095</v>
      </c>
      <c r="CZ215" s="229">
        <v>3039</v>
      </c>
      <c r="DA215" s="229">
        <v>26014</v>
      </c>
      <c r="DB215" s="216">
        <v>-22975</v>
      </c>
      <c r="DC215" s="229">
        <v>10666</v>
      </c>
      <c r="DD215" s="229">
        <v>13043</v>
      </c>
      <c r="DE215" s="151"/>
      <c r="DG215" s="229">
        <v>-118</v>
      </c>
      <c r="DH215" s="229">
        <v>347</v>
      </c>
      <c r="DI215" s="229">
        <v>963</v>
      </c>
      <c r="DJ215" s="229">
        <v>1139</v>
      </c>
      <c r="DK215" s="229">
        <v>0</v>
      </c>
      <c r="DL215" s="229">
        <v>129</v>
      </c>
      <c r="DM215" s="229">
        <v>-305</v>
      </c>
      <c r="DN215" s="131">
        <v>0</v>
      </c>
      <c r="DO215" s="131">
        <v>0</v>
      </c>
      <c r="DP215" s="130">
        <v>0</v>
      </c>
      <c r="DQ215" s="130">
        <v>-305</v>
      </c>
      <c r="DR215" s="130">
        <v>3797</v>
      </c>
      <c r="DS215" s="130">
        <v>757</v>
      </c>
      <c r="DT215" s="167"/>
      <c r="DU215" s="183">
        <v>320</v>
      </c>
      <c r="DV215" s="183">
        <v>-1540</v>
      </c>
      <c r="DW215" s="180">
        <v>-45</v>
      </c>
      <c r="DX215" s="130">
        <v>10666</v>
      </c>
      <c r="DY215" s="229">
        <v>8719</v>
      </c>
      <c r="DZ215" s="229">
        <v>874</v>
      </c>
      <c r="EA215" s="229">
        <v>1073</v>
      </c>
      <c r="EB215" s="212">
        <v>22</v>
      </c>
      <c r="EC215" s="208"/>
      <c r="ED215" s="183">
        <v>272.61764705882302</v>
      </c>
      <c r="EE215" s="3">
        <v>14470</v>
      </c>
      <c r="EF215" s="183">
        <v>14912</v>
      </c>
      <c r="EG215" s="130">
        <v>15328</v>
      </c>
      <c r="EH215" s="130"/>
      <c r="EI215" s="130"/>
      <c r="EJ215" s="130"/>
      <c r="EK215" s="183">
        <v>-2496</v>
      </c>
      <c r="EL215" s="183">
        <v>136</v>
      </c>
      <c r="EM215" s="183">
        <v>0</v>
      </c>
      <c r="EN215" s="226">
        <v>-2284</v>
      </c>
      <c r="EO215" s="226">
        <v>79</v>
      </c>
      <c r="EP215" s="226">
        <v>19</v>
      </c>
      <c r="EQ215" s="226">
        <v>-903</v>
      </c>
      <c r="ER215" s="230">
        <v>60</v>
      </c>
      <c r="ES215" s="230">
        <v>41</v>
      </c>
      <c r="ET215" s="3">
        <v>2200</v>
      </c>
      <c r="EU215" s="211">
        <v>880</v>
      </c>
      <c r="EV215" s="183">
        <v>2000</v>
      </c>
      <c r="EW215" s="183">
        <v>20</v>
      </c>
      <c r="EX215" s="130">
        <v>2000</v>
      </c>
      <c r="EY215" s="183">
        <v>-250</v>
      </c>
      <c r="EZ215" s="3">
        <v>11702</v>
      </c>
      <c r="FA215" s="3">
        <v>9442</v>
      </c>
      <c r="FB215" s="3">
        <v>2260</v>
      </c>
      <c r="FC215" s="3">
        <v>279</v>
      </c>
      <c r="FD215" s="226">
        <v>12343</v>
      </c>
      <c r="FE215" s="183">
        <v>9902</v>
      </c>
      <c r="FF215" s="183">
        <v>2441</v>
      </c>
      <c r="FG215" s="183">
        <v>279</v>
      </c>
      <c r="FH215" s="230">
        <v>12552</v>
      </c>
      <c r="FI215" s="130">
        <v>10161</v>
      </c>
      <c r="FJ215" s="130">
        <v>2391</v>
      </c>
      <c r="FK215" s="130">
        <v>299</v>
      </c>
      <c r="FL215" s="29">
        <v>6141.4267834793491</v>
      </c>
      <c r="FM215" s="139">
        <v>6564.5626401794298</v>
      </c>
      <c r="FN215" s="139">
        <v>6914.1827710448733</v>
      </c>
      <c r="FO215" s="172">
        <f t="shared" si="9"/>
        <v>396.31818181818181</v>
      </c>
      <c r="FP215" s="170">
        <f t="shared" si="10"/>
        <v>129.81270285561146</v>
      </c>
      <c r="FR215" s="175"/>
      <c r="FS215" s="195"/>
      <c r="FV215" s="175">
        <v>1253</v>
      </c>
      <c r="FW215" s="2">
        <f t="shared" si="11"/>
        <v>-1253</v>
      </c>
      <c r="FZ215" s="186"/>
      <c r="GA215" s="2"/>
      <c r="GB215" s="2"/>
    </row>
    <row r="216" spans="1:184" ht="13" x14ac:dyDescent="0.3">
      <c r="A216" s="77">
        <v>687</v>
      </c>
      <c r="B216" s="75" t="s">
        <v>207</v>
      </c>
      <c r="C216" s="179">
        <v>1651</v>
      </c>
      <c r="D216" s="138"/>
      <c r="E216" s="142">
        <v>0.92657125077784697</v>
      </c>
      <c r="F216" s="142">
        <v>77.936028968014483</v>
      </c>
      <c r="G216" s="183">
        <v>-4827.3773470623864</v>
      </c>
      <c r="H216" s="144"/>
      <c r="I216" s="186"/>
      <c r="K216" s="210">
        <v>52.209522422830517</v>
      </c>
      <c r="L216" s="143">
        <v>814.6577831617202</v>
      </c>
      <c r="M216" s="146">
        <v>27.462799283956144</v>
      </c>
      <c r="N216" s="143">
        <v>10827.377347062386</v>
      </c>
      <c r="O216" s="138">
        <v>6201</v>
      </c>
      <c r="P216" s="143">
        <v>2688</v>
      </c>
      <c r="Q216" s="184">
        <v>15408</v>
      </c>
      <c r="R216" s="184">
        <v>-12720</v>
      </c>
      <c r="S216" s="139">
        <v>5549</v>
      </c>
      <c r="T216" s="138">
        <v>8333</v>
      </c>
      <c r="U216" s="151"/>
      <c r="W216" s="183">
        <v>-2</v>
      </c>
      <c r="X216" s="183">
        <v>251</v>
      </c>
      <c r="Y216" s="184">
        <v>1411</v>
      </c>
      <c r="Z216" s="130">
        <v>933</v>
      </c>
      <c r="AA216" s="130">
        <v>0</v>
      </c>
      <c r="AB216" s="130">
        <v>0</v>
      </c>
      <c r="AC216" s="184">
        <v>478</v>
      </c>
      <c r="AD216" s="183">
        <v>0</v>
      </c>
      <c r="AE216" s="183">
        <v>0</v>
      </c>
      <c r="AF216" s="183">
        <v>0</v>
      </c>
      <c r="AG216" s="183">
        <v>478</v>
      </c>
      <c r="AH216" s="183">
        <v>5948</v>
      </c>
      <c r="AI216" s="183">
        <v>1401</v>
      </c>
      <c r="AJ216" s="167"/>
      <c r="AK216" s="183">
        <v>612</v>
      </c>
      <c r="AL216" s="183">
        <v>-1529</v>
      </c>
      <c r="AM216" s="180">
        <v>603</v>
      </c>
      <c r="AN216" s="139">
        <v>5549</v>
      </c>
      <c r="AO216" s="138">
        <v>3760</v>
      </c>
      <c r="AP216" s="184">
        <v>1359</v>
      </c>
      <c r="AQ216" s="138">
        <v>430</v>
      </c>
      <c r="AR216" s="109">
        <v>22</v>
      </c>
      <c r="AS216" s="144"/>
      <c r="AT216" s="139">
        <v>6</v>
      </c>
      <c r="AU216" s="228">
        <v>1602</v>
      </c>
      <c r="AV216" s="138"/>
      <c r="AW216" s="224">
        <v>0.40027229407760379</v>
      </c>
      <c r="AX216" s="225">
        <v>75.791468035692461</v>
      </c>
      <c r="AY216" s="139">
        <v>-4925.0936329588012</v>
      </c>
      <c r="AZ216" s="144"/>
      <c r="BA216"/>
      <c r="BC216" s="189">
        <v>52.441127943602822</v>
      </c>
      <c r="BD216" s="183">
        <v>689.13857677902627</v>
      </c>
      <c r="BE216" s="140">
        <v>22.375478927203066</v>
      </c>
      <c r="BF216" s="139">
        <v>11241.573033707866</v>
      </c>
      <c r="BG216" s="184">
        <v>6918</v>
      </c>
      <c r="BH216" s="216">
        <v>2771</v>
      </c>
      <c r="BI216" s="216">
        <v>16085</v>
      </c>
      <c r="BJ216" s="216">
        <v>-13314</v>
      </c>
      <c r="BK216" s="216">
        <v>5624</v>
      </c>
      <c r="BL216" s="216">
        <v>7967</v>
      </c>
      <c r="BM216" s="151"/>
      <c r="BO216" s="216">
        <v>3</v>
      </c>
      <c r="BP216" s="216">
        <v>241</v>
      </c>
      <c r="BQ216" s="216">
        <v>521</v>
      </c>
      <c r="BR216" s="216">
        <v>880</v>
      </c>
      <c r="BS216" s="216">
        <v>0</v>
      </c>
      <c r="BT216" s="216">
        <v>0</v>
      </c>
      <c r="BU216" s="216">
        <v>-359</v>
      </c>
      <c r="BV216" s="183">
        <v>0</v>
      </c>
      <c r="BW216" s="183">
        <v>0</v>
      </c>
      <c r="BX216" s="183">
        <v>0</v>
      </c>
      <c r="BY216" s="183">
        <v>-359</v>
      </c>
      <c r="BZ216" s="183">
        <v>5590</v>
      </c>
      <c r="CA216" s="183">
        <v>602</v>
      </c>
      <c r="CB216" s="167"/>
      <c r="CC216" s="183">
        <v>193</v>
      </c>
      <c r="CD216" s="183">
        <v>-1331</v>
      </c>
      <c r="CE216" s="180">
        <v>103</v>
      </c>
      <c r="CF216" s="139">
        <v>5624</v>
      </c>
      <c r="CG216" s="216">
        <v>3740</v>
      </c>
      <c r="CH216" s="216">
        <v>1447</v>
      </c>
      <c r="CI216" s="216">
        <v>437</v>
      </c>
      <c r="CJ216" s="212">
        <v>22</v>
      </c>
      <c r="CK216" s="144"/>
      <c r="CL216" s="130">
        <v>83</v>
      </c>
      <c r="CM216" s="228">
        <v>1561</v>
      </c>
      <c r="CN216" s="138"/>
      <c r="CO216" s="142">
        <v>1.7555110220440882</v>
      </c>
      <c r="CP216" s="142">
        <v>61.598550888712779</v>
      </c>
      <c r="CQ216" s="183">
        <v>-3944.9071108263934</v>
      </c>
      <c r="CR216" s="144"/>
      <c r="CS216"/>
      <c r="CU216" s="232">
        <v>58.475242336913809</v>
      </c>
      <c r="CV216" s="143">
        <v>768.09737347853945</v>
      </c>
      <c r="CW216" s="146">
        <v>24.778337674102595</v>
      </c>
      <c r="CX216" s="143">
        <v>11314.541960281871</v>
      </c>
      <c r="CY216" s="131">
        <v>6907</v>
      </c>
      <c r="CZ216" s="229">
        <v>3046</v>
      </c>
      <c r="DA216" s="229">
        <v>15335</v>
      </c>
      <c r="DB216" s="216">
        <v>-12289</v>
      </c>
      <c r="DC216" s="229">
        <v>5801</v>
      </c>
      <c r="DD216" s="229">
        <v>8819</v>
      </c>
      <c r="DE216" s="151"/>
      <c r="DG216" s="229">
        <v>6</v>
      </c>
      <c r="DH216" s="229">
        <v>227</v>
      </c>
      <c r="DI216" s="229">
        <v>2564</v>
      </c>
      <c r="DJ216" s="229">
        <v>924</v>
      </c>
      <c r="DK216" s="229">
        <v>0</v>
      </c>
      <c r="DL216" s="229">
        <v>0</v>
      </c>
      <c r="DM216" s="229">
        <v>1640</v>
      </c>
      <c r="DN216" s="130">
        <v>0</v>
      </c>
      <c r="DO216" s="130">
        <v>0</v>
      </c>
      <c r="DP216" s="130">
        <v>0</v>
      </c>
      <c r="DQ216" s="130">
        <v>1640</v>
      </c>
      <c r="DR216" s="130">
        <v>7229</v>
      </c>
      <c r="DS216" s="130">
        <v>2499</v>
      </c>
      <c r="DT216" s="167"/>
      <c r="DU216" s="183">
        <v>-118</v>
      </c>
      <c r="DV216" s="183">
        <v>-1433</v>
      </c>
      <c r="DW216" s="180">
        <v>1700</v>
      </c>
      <c r="DX216" s="130">
        <v>5801</v>
      </c>
      <c r="DY216" s="229">
        <v>3674</v>
      </c>
      <c r="DZ216" s="229">
        <v>1706</v>
      </c>
      <c r="EA216" s="229">
        <v>421</v>
      </c>
      <c r="EB216" s="212">
        <v>22</v>
      </c>
      <c r="EC216" s="208"/>
      <c r="ED216" s="183">
        <v>2</v>
      </c>
      <c r="EE216" s="3">
        <v>7447</v>
      </c>
      <c r="EF216" s="183">
        <v>7331</v>
      </c>
      <c r="EG216" s="130">
        <v>6591</v>
      </c>
      <c r="EH216" s="130"/>
      <c r="EI216" s="130"/>
      <c r="EJ216" s="130"/>
      <c r="EK216" s="183">
        <v>-860</v>
      </c>
      <c r="EL216" s="183">
        <v>30</v>
      </c>
      <c r="EM216" s="183">
        <v>32</v>
      </c>
      <c r="EN216" s="226">
        <v>-525</v>
      </c>
      <c r="EO216" s="226">
        <v>20</v>
      </c>
      <c r="EP216" s="226">
        <v>6</v>
      </c>
      <c r="EQ216" s="226">
        <v>-809</v>
      </c>
      <c r="ER216" s="230">
        <v>0</v>
      </c>
      <c r="ES216" s="230">
        <v>10</v>
      </c>
      <c r="ET216" s="3">
        <v>0</v>
      </c>
      <c r="EU216" s="211">
        <v>0</v>
      </c>
      <c r="EV216" s="183">
        <v>1000</v>
      </c>
      <c r="EW216" s="183">
        <v>0</v>
      </c>
      <c r="EX216" s="130">
        <v>0</v>
      </c>
      <c r="EY216" s="183">
        <v>0</v>
      </c>
      <c r="EZ216" s="3">
        <v>11114</v>
      </c>
      <c r="FA216" s="3">
        <v>9783</v>
      </c>
      <c r="FB216" s="3">
        <v>1331</v>
      </c>
      <c r="FC216" s="3">
        <v>185</v>
      </c>
      <c r="FD216" s="226">
        <v>10782</v>
      </c>
      <c r="FE216" s="183">
        <v>9350</v>
      </c>
      <c r="FF216" s="183">
        <v>1432</v>
      </c>
      <c r="FG216" s="183">
        <v>185</v>
      </c>
      <c r="FH216" s="230">
        <v>9351</v>
      </c>
      <c r="FI216" s="130">
        <v>7918</v>
      </c>
      <c r="FJ216" s="130">
        <v>1433</v>
      </c>
      <c r="FK216" s="130">
        <v>185</v>
      </c>
      <c r="FL216" s="29">
        <v>9730.466384009691</v>
      </c>
      <c r="FM216" s="139">
        <v>10066.791510611734</v>
      </c>
      <c r="FN216" s="139">
        <v>9667.5208199871868</v>
      </c>
      <c r="FO216" s="172">
        <f t="shared" si="9"/>
        <v>167</v>
      </c>
      <c r="FP216" s="170">
        <f t="shared" si="10"/>
        <v>106.98270339525945</v>
      </c>
      <c r="FR216" s="175"/>
      <c r="FS216" s="195"/>
      <c r="FV216" s="175">
        <v>1253</v>
      </c>
      <c r="FW216" s="2">
        <f t="shared" si="11"/>
        <v>-1253</v>
      </c>
      <c r="FZ216" s="186"/>
      <c r="GA216" s="2"/>
      <c r="GB216" s="2"/>
    </row>
    <row r="217" spans="1:184" ht="13" x14ac:dyDescent="0.3">
      <c r="A217" s="77">
        <v>689</v>
      </c>
      <c r="B217" s="75" t="s">
        <v>208</v>
      </c>
      <c r="C217" s="179">
        <v>3335</v>
      </c>
      <c r="D217" s="138"/>
      <c r="E217" s="142">
        <v>1.8778026905829597</v>
      </c>
      <c r="F217" s="142">
        <v>34.954996896337676</v>
      </c>
      <c r="G217" s="183">
        <v>-1974.2128935532235</v>
      </c>
      <c r="H217" s="144"/>
      <c r="I217" s="186"/>
      <c r="K217" s="210">
        <v>66.871298124383017</v>
      </c>
      <c r="L217" s="143">
        <v>259.97001499250376</v>
      </c>
      <c r="M217" s="146">
        <v>12.238185474514658</v>
      </c>
      <c r="N217" s="143">
        <v>7753.5232383808097</v>
      </c>
      <c r="O217" s="138">
        <v>5723</v>
      </c>
      <c r="P217" s="143">
        <v>3138</v>
      </c>
      <c r="Q217" s="184">
        <v>24160</v>
      </c>
      <c r="R217" s="184">
        <v>-21022</v>
      </c>
      <c r="S217" s="139">
        <v>11993</v>
      </c>
      <c r="T217" s="138">
        <v>10645</v>
      </c>
      <c r="U217" s="151"/>
      <c r="W217" s="183">
        <v>-4</v>
      </c>
      <c r="X217" s="183">
        <v>27</v>
      </c>
      <c r="Y217" s="184">
        <v>1639</v>
      </c>
      <c r="Z217" s="130">
        <v>1840</v>
      </c>
      <c r="AA217" s="130">
        <v>0</v>
      </c>
      <c r="AB217" s="130">
        <v>0</v>
      </c>
      <c r="AC217" s="184">
        <v>-201</v>
      </c>
      <c r="AD217" s="183">
        <v>104</v>
      </c>
      <c r="AE217" s="183">
        <v>0</v>
      </c>
      <c r="AF217" s="183">
        <v>0</v>
      </c>
      <c r="AG217" s="183">
        <v>-97</v>
      </c>
      <c r="AH217" s="183">
        <v>9571</v>
      </c>
      <c r="AI217" s="183">
        <v>1962</v>
      </c>
      <c r="AJ217" s="167"/>
      <c r="AK217" s="183">
        <v>-807</v>
      </c>
      <c r="AL217" s="183">
        <v>-856</v>
      </c>
      <c r="AM217" s="180">
        <v>1157</v>
      </c>
      <c r="AN217" s="139">
        <v>11993</v>
      </c>
      <c r="AO217" s="138">
        <v>9850</v>
      </c>
      <c r="AP217" s="184">
        <v>1392</v>
      </c>
      <c r="AQ217" s="138">
        <v>751</v>
      </c>
      <c r="AR217" s="109">
        <v>20.25</v>
      </c>
      <c r="AS217" s="144"/>
      <c r="AT217" s="139">
        <v>50</v>
      </c>
      <c r="AU217" s="228">
        <v>3226</v>
      </c>
      <c r="AV217" s="138"/>
      <c r="AW217" s="224">
        <v>0.65844504021447725</v>
      </c>
      <c r="AX217" s="225">
        <v>36.403628294468021</v>
      </c>
      <c r="AY217" s="139">
        <v>-1995.0402975821451</v>
      </c>
      <c r="AZ217" s="144"/>
      <c r="BA217"/>
      <c r="BC217" s="189">
        <v>65.626760122660997</v>
      </c>
      <c r="BD217" s="183">
        <v>640.42157470551763</v>
      </c>
      <c r="BE217" s="140">
        <v>27.64969016976497</v>
      </c>
      <c r="BF217" s="139">
        <v>8454.1227526348412</v>
      </c>
      <c r="BG217" s="184">
        <v>5521</v>
      </c>
      <c r="BH217" s="216">
        <v>2900</v>
      </c>
      <c r="BI217" s="216">
        <v>25137</v>
      </c>
      <c r="BJ217" s="216">
        <v>-22237</v>
      </c>
      <c r="BK217" s="216">
        <v>12599</v>
      </c>
      <c r="BL217" s="216">
        <v>10188</v>
      </c>
      <c r="BM217" s="151"/>
      <c r="BO217" s="216">
        <v>8</v>
      </c>
      <c r="BP217" s="216">
        <v>26</v>
      </c>
      <c r="BQ217" s="216">
        <v>584</v>
      </c>
      <c r="BR217" s="216">
        <v>1710</v>
      </c>
      <c r="BS217" s="216">
        <v>60</v>
      </c>
      <c r="BT217" s="216">
        <v>0</v>
      </c>
      <c r="BU217" s="216">
        <v>-1066</v>
      </c>
      <c r="BV217" s="183">
        <v>104</v>
      </c>
      <c r="BW217" s="183">
        <v>0</v>
      </c>
      <c r="BX217" s="183">
        <v>0</v>
      </c>
      <c r="BY217" s="183">
        <v>-962</v>
      </c>
      <c r="BZ217" s="183">
        <v>8971</v>
      </c>
      <c r="CA217" s="183">
        <v>690</v>
      </c>
      <c r="CB217" s="167"/>
      <c r="CC217" s="183">
        <v>684</v>
      </c>
      <c r="CD217" s="183">
        <v>-1320</v>
      </c>
      <c r="CE217" s="180">
        <v>99</v>
      </c>
      <c r="CF217" s="139">
        <v>12599</v>
      </c>
      <c r="CG217" s="216">
        <v>10114</v>
      </c>
      <c r="CH217" s="216">
        <v>1730</v>
      </c>
      <c r="CI217" s="216">
        <v>755</v>
      </c>
      <c r="CJ217" s="212">
        <v>20.25</v>
      </c>
      <c r="CK217" s="144"/>
      <c r="CL217" s="130">
        <v>134</v>
      </c>
      <c r="CM217" s="228">
        <v>3146</v>
      </c>
      <c r="CN217" s="138"/>
      <c r="CO217" s="142">
        <v>0.55034722222222221</v>
      </c>
      <c r="CP217" s="142">
        <v>29.277033343720785</v>
      </c>
      <c r="CQ217" s="183">
        <v>-1808.6458995549904</v>
      </c>
      <c r="CR217" s="144"/>
      <c r="CS217"/>
      <c r="CU217" s="232">
        <v>65.718471077195616</v>
      </c>
      <c r="CV217" s="143">
        <v>359.50413223140498</v>
      </c>
      <c r="CW217" s="146">
        <v>15.53337597832631</v>
      </c>
      <c r="CX217" s="143">
        <v>8447.5524475524471</v>
      </c>
      <c r="CY217" s="131">
        <v>5060</v>
      </c>
      <c r="CZ217" s="229">
        <v>2485</v>
      </c>
      <c r="DA217" s="229">
        <v>25417</v>
      </c>
      <c r="DB217" s="216">
        <v>-22932</v>
      </c>
      <c r="DC217" s="229">
        <v>12396</v>
      </c>
      <c r="DD217" s="229">
        <v>10791</v>
      </c>
      <c r="DE217" s="151"/>
      <c r="DG217" s="229">
        <v>14</v>
      </c>
      <c r="DH217" s="229">
        <v>28</v>
      </c>
      <c r="DI217" s="229">
        <v>297</v>
      </c>
      <c r="DJ217" s="229">
        <v>1645</v>
      </c>
      <c r="DK217" s="229">
        <v>0</v>
      </c>
      <c r="DL217" s="229">
        <v>0</v>
      </c>
      <c r="DM217" s="229">
        <v>-1348</v>
      </c>
      <c r="DN217" s="130">
        <v>107</v>
      </c>
      <c r="DO217" s="130">
        <v>0</v>
      </c>
      <c r="DP217" s="130">
        <v>0</v>
      </c>
      <c r="DQ217" s="130">
        <v>-1241</v>
      </c>
      <c r="DR217" s="130">
        <v>7396</v>
      </c>
      <c r="DS217" s="130">
        <v>1225</v>
      </c>
      <c r="DT217" s="167"/>
      <c r="DU217" s="183">
        <v>131</v>
      </c>
      <c r="DV217" s="183">
        <v>-556</v>
      </c>
      <c r="DW217" s="180">
        <v>743</v>
      </c>
      <c r="DX217" s="130">
        <v>12396</v>
      </c>
      <c r="DY217" s="229">
        <v>10111</v>
      </c>
      <c r="DZ217" s="229">
        <v>1603</v>
      </c>
      <c r="EA217" s="229">
        <v>682</v>
      </c>
      <c r="EB217" s="212">
        <v>20.5</v>
      </c>
      <c r="EC217" s="208"/>
      <c r="ED217" s="183">
        <v>289.74264705882302</v>
      </c>
      <c r="EE217" s="3">
        <v>16529</v>
      </c>
      <c r="EF217" s="183">
        <v>17956</v>
      </c>
      <c r="EG217" s="130">
        <v>17721</v>
      </c>
      <c r="EH217" s="130"/>
      <c r="EI217" s="130"/>
      <c r="EJ217" s="130"/>
      <c r="EK217" s="183">
        <v>-806</v>
      </c>
      <c r="EL217" s="183">
        <v>0</v>
      </c>
      <c r="EM217" s="183">
        <v>1</v>
      </c>
      <c r="EN217" s="226">
        <v>-784</v>
      </c>
      <c r="EO217" s="226">
        <v>18</v>
      </c>
      <c r="EP217" s="226">
        <v>175</v>
      </c>
      <c r="EQ217" s="226">
        <v>-583</v>
      </c>
      <c r="ER217" s="230">
        <v>15</v>
      </c>
      <c r="ES217" s="230">
        <v>86</v>
      </c>
      <c r="ET217" s="3">
        <v>0</v>
      </c>
      <c r="EU217" s="211">
        <v>600</v>
      </c>
      <c r="EV217" s="183">
        <v>0</v>
      </c>
      <c r="EW217" s="183">
        <v>2464</v>
      </c>
      <c r="EX217" s="130">
        <v>65</v>
      </c>
      <c r="EY217" s="183">
        <v>-1800</v>
      </c>
      <c r="EZ217" s="3">
        <v>5864</v>
      </c>
      <c r="FA217" s="3">
        <v>4008</v>
      </c>
      <c r="FB217" s="3">
        <v>1856</v>
      </c>
      <c r="FC217" s="3">
        <v>336</v>
      </c>
      <c r="FD217" s="226">
        <v>7008</v>
      </c>
      <c r="FE217" s="183">
        <v>2688</v>
      </c>
      <c r="FF217" s="183">
        <v>4320</v>
      </c>
      <c r="FG217" s="183">
        <v>670</v>
      </c>
      <c r="FH217" s="230">
        <v>4716</v>
      </c>
      <c r="FI217" s="130">
        <v>2732</v>
      </c>
      <c r="FJ217" s="130">
        <v>1984</v>
      </c>
      <c r="FK217" s="130">
        <v>336</v>
      </c>
      <c r="FL217" s="29">
        <v>3499.8500749625186</v>
      </c>
      <c r="FM217" s="139">
        <v>3771.5437073775574</v>
      </c>
      <c r="FN217" s="139">
        <v>3167.8321678321681</v>
      </c>
      <c r="FO217" s="172">
        <f t="shared" si="9"/>
        <v>493.21951219512198</v>
      </c>
      <c r="FP217" s="170">
        <f t="shared" si="10"/>
        <v>156.77670444854479</v>
      </c>
      <c r="FR217" s="175"/>
      <c r="FS217" s="195"/>
      <c r="FV217" s="175">
        <v>500</v>
      </c>
      <c r="FW217" s="2">
        <f t="shared" si="11"/>
        <v>-500</v>
      </c>
      <c r="FZ217" s="186"/>
      <c r="GA217" s="2"/>
      <c r="GB217" s="2"/>
    </row>
    <row r="218" spans="1:184" ht="13" x14ac:dyDescent="0.3">
      <c r="A218" s="77">
        <v>691</v>
      </c>
      <c r="B218" s="75" t="s">
        <v>209</v>
      </c>
      <c r="C218" s="179">
        <v>2743</v>
      </c>
      <c r="D218" s="138"/>
      <c r="E218" s="142">
        <v>-0.17428571428571429</v>
      </c>
      <c r="F218" s="142">
        <v>128.84824479652065</v>
      </c>
      <c r="G218" s="183">
        <v>-6694.4950783813338</v>
      </c>
      <c r="H218" s="144"/>
      <c r="I218" s="186"/>
      <c r="K218" s="210">
        <v>19.220760269474912</v>
      </c>
      <c r="L218" s="143">
        <v>4886.2559241706158</v>
      </c>
      <c r="M218" s="146">
        <v>156.98408368899015</v>
      </c>
      <c r="N218" s="143">
        <v>11360.91870215093</v>
      </c>
      <c r="O218" s="138">
        <v>9247</v>
      </c>
      <c r="P218" s="143">
        <v>6991</v>
      </c>
      <c r="Q218" s="184">
        <v>25975</v>
      </c>
      <c r="R218" s="184">
        <v>-18984</v>
      </c>
      <c r="S218" s="139">
        <v>8030</v>
      </c>
      <c r="T218" s="138">
        <v>10731</v>
      </c>
      <c r="U218" s="151"/>
      <c r="W218" s="183">
        <v>-229</v>
      </c>
      <c r="X218" s="183">
        <v>-454</v>
      </c>
      <c r="Y218" s="184">
        <v>-906</v>
      </c>
      <c r="Z218" s="130">
        <v>941</v>
      </c>
      <c r="AA218" s="130">
        <v>0</v>
      </c>
      <c r="AB218" s="130">
        <v>0</v>
      </c>
      <c r="AC218" s="184">
        <v>-1847</v>
      </c>
      <c r="AD218" s="183">
        <v>0</v>
      </c>
      <c r="AE218" s="183">
        <v>0</v>
      </c>
      <c r="AF218" s="183">
        <v>0</v>
      </c>
      <c r="AG218" s="183">
        <v>-1847</v>
      </c>
      <c r="AH218" s="183">
        <v>-1129</v>
      </c>
      <c r="AI218" s="183">
        <v>-921</v>
      </c>
      <c r="AJ218" s="167"/>
      <c r="AK218" s="183">
        <v>-508</v>
      </c>
      <c r="AL218" s="183">
        <v>-3615</v>
      </c>
      <c r="AM218" s="180">
        <v>-1571</v>
      </c>
      <c r="AN218" s="139">
        <v>8030</v>
      </c>
      <c r="AO218" s="138">
        <v>6965</v>
      </c>
      <c r="AP218" s="184">
        <v>373</v>
      </c>
      <c r="AQ218" s="138">
        <v>692</v>
      </c>
      <c r="AR218" s="109">
        <v>22.5</v>
      </c>
      <c r="AS218" s="144"/>
      <c r="AT218" s="139">
        <v>288</v>
      </c>
      <c r="AU218" s="228">
        <v>2718</v>
      </c>
      <c r="AV218" s="138"/>
      <c r="AW218" s="224">
        <v>0.18004357818702801</v>
      </c>
      <c r="AX218" s="225">
        <v>137.21292183881866</v>
      </c>
      <c r="AY218" s="139">
        <v>-8194.6284032376752</v>
      </c>
      <c r="AZ218" s="144"/>
      <c r="BA218"/>
      <c r="BC218" s="189">
        <v>16.762912688369951</v>
      </c>
      <c r="BD218" s="183">
        <v>3984.9153789551137</v>
      </c>
      <c r="BE218" s="140">
        <v>106.54112542445965</v>
      </c>
      <c r="BF218" s="139">
        <v>13651.949963208241</v>
      </c>
      <c r="BG218" s="184">
        <v>9009</v>
      </c>
      <c r="BH218" s="216">
        <v>6870</v>
      </c>
      <c r="BI218" s="216">
        <v>26110</v>
      </c>
      <c r="BJ218" s="216">
        <v>-19240</v>
      </c>
      <c r="BK218" s="216">
        <v>8217</v>
      </c>
      <c r="BL218" s="216">
        <v>11256</v>
      </c>
      <c r="BM218" s="151"/>
      <c r="BO218" s="216">
        <v>-195</v>
      </c>
      <c r="BP218" s="216">
        <v>511</v>
      </c>
      <c r="BQ218" s="216">
        <v>549</v>
      </c>
      <c r="BR218" s="216">
        <v>1166</v>
      </c>
      <c r="BS218" s="216">
        <v>0</v>
      </c>
      <c r="BT218" s="216">
        <v>0</v>
      </c>
      <c r="BU218" s="216">
        <v>-617</v>
      </c>
      <c r="BV218" s="183">
        <v>0</v>
      </c>
      <c r="BW218" s="183">
        <v>0</v>
      </c>
      <c r="BX218" s="183">
        <v>0</v>
      </c>
      <c r="BY218" s="183">
        <v>-617</v>
      </c>
      <c r="BZ218" s="183">
        <v>-1746</v>
      </c>
      <c r="CA218" s="183">
        <v>757</v>
      </c>
      <c r="CB218" s="167"/>
      <c r="CC218" s="183">
        <v>-1629</v>
      </c>
      <c r="CD218" s="183">
        <v>-3557</v>
      </c>
      <c r="CE218" s="180">
        <v>-3272</v>
      </c>
      <c r="CF218" s="139">
        <v>8217</v>
      </c>
      <c r="CG218" s="216">
        <v>7194</v>
      </c>
      <c r="CH218" s="216">
        <v>363</v>
      </c>
      <c r="CI218" s="216">
        <v>660</v>
      </c>
      <c r="CJ218" s="212">
        <v>22.5</v>
      </c>
      <c r="CK218" s="144"/>
      <c r="CL218" s="130">
        <v>128</v>
      </c>
      <c r="CM218" s="228">
        <v>2710</v>
      </c>
      <c r="CN218" s="138"/>
      <c r="CO218" s="142">
        <v>0.69623940677966101</v>
      </c>
      <c r="CP218" s="142">
        <v>135.92768162275382</v>
      </c>
      <c r="CQ218" s="183">
        <v>-8109.5940959409591</v>
      </c>
      <c r="CR218" s="144"/>
      <c r="CS218"/>
      <c r="CU218" s="232">
        <v>18.556814431855681</v>
      </c>
      <c r="CV218" s="143">
        <v>3998.8929889298893</v>
      </c>
      <c r="CW218" s="146">
        <v>123.8145991798917</v>
      </c>
      <c r="CX218" s="143">
        <v>11788.560885608857</v>
      </c>
      <c r="CY218" s="131">
        <v>8596</v>
      </c>
      <c r="CZ218" s="229">
        <v>6226</v>
      </c>
      <c r="DA218" s="229">
        <v>25105</v>
      </c>
      <c r="DB218" s="216">
        <v>-18879</v>
      </c>
      <c r="DC218" s="229">
        <v>8676</v>
      </c>
      <c r="DD218" s="229">
        <v>12311</v>
      </c>
      <c r="DE218" s="151"/>
      <c r="DG218" s="229">
        <v>-141</v>
      </c>
      <c r="DH218" s="229">
        <v>453</v>
      </c>
      <c r="DI218" s="229">
        <v>2420</v>
      </c>
      <c r="DJ218" s="229">
        <v>1272</v>
      </c>
      <c r="DK218" s="229">
        <v>0</v>
      </c>
      <c r="DL218" s="229">
        <v>0</v>
      </c>
      <c r="DM218" s="229">
        <v>1148</v>
      </c>
      <c r="DN218" s="130">
        <v>0</v>
      </c>
      <c r="DO218" s="130">
        <v>0</v>
      </c>
      <c r="DP218" s="130">
        <v>0</v>
      </c>
      <c r="DQ218" s="130">
        <v>1148</v>
      </c>
      <c r="DR218" s="130">
        <v>-597</v>
      </c>
      <c r="DS218" s="130">
        <v>2380</v>
      </c>
      <c r="DT218" s="167"/>
      <c r="DU218" s="183">
        <v>-1132</v>
      </c>
      <c r="DV218" s="183">
        <v>-3567</v>
      </c>
      <c r="DW218" s="180">
        <v>145</v>
      </c>
      <c r="DX218" s="130">
        <v>8676</v>
      </c>
      <c r="DY218" s="229">
        <v>7566</v>
      </c>
      <c r="DZ218" s="229">
        <v>414</v>
      </c>
      <c r="EA218" s="229">
        <v>696</v>
      </c>
      <c r="EB218" s="212">
        <v>22.5</v>
      </c>
      <c r="EC218" s="208"/>
      <c r="ED218" s="183">
        <v>62.080882352941202</v>
      </c>
      <c r="EE218" s="3">
        <v>14452</v>
      </c>
      <c r="EF218" s="183">
        <v>14510</v>
      </c>
      <c r="EG218" s="130">
        <v>14590</v>
      </c>
      <c r="EH218" s="130"/>
      <c r="EI218" s="130">
        <v>380</v>
      </c>
      <c r="EJ218" s="130">
        <v>375</v>
      </c>
      <c r="EK218" s="183">
        <v>-685</v>
      </c>
      <c r="EL218" s="183">
        <v>20</v>
      </c>
      <c r="EM218" s="183">
        <v>15</v>
      </c>
      <c r="EN218" s="226">
        <v>-6281</v>
      </c>
      <c r="EO218" s="226">
        <v>158</v>
      </c>
      <c r="EP218" s="226">
        <v>2094</v>
      </c>
      <c r="EQ218" s="226">
        <v>-2591</v>
      </c>
      <c r="ER218" s="230">
        <v>285</v>
      </c>
      <c r="ES218" s="230">
        <v>71</v>
      </c>
      <c r="ET218" s="3">
        <v>0</v>
      </c>
      <c r="EU218" s="211">
        <v>4243</v>
      </c>
      <c r="EV218" s="183">
        <v>5000</v>
      </c>
      <c r="EW218" s="183">
        <v>-1655</v>
      </c>
      <c r="EX218" s="130">
        <v>6170</v>
      </c>
      <c r="EY218" s="183">
        <v>-3045</v>
      </c>
      <c r="EZ218" s="3">
        <v>30188</v>
      </c>
      <c r="FA218" s="3">
        <v>21921</v>
      </c>
      <c r="FB218" s="3">
        <v>8267</v>
      </c>
      <c r="FC218" s="3">
        <v>414</v>
      </c>
      <c r="FD218" s="226">
        <v>29976</v>
      </c>
      <c r="FE218" s="183">
        <v>23365</v>
      </c>
      <c r="FF218" s="183">
        <v>6611</v>
      </c>
      <c r="FG218" s="183">
        <v>346</v>
      </c>
      <c r="FH218" s="230">
        <v>29533</v>
      </c>
      <c r="FI218" s="130">
        <v>25968</v>
      </c>
      <c r="FJ218" s="130">
        <v>3565</v>
      </c>
      <c r="FK218" s="130">
        <v>318</v>
      </c>
      <c r="FL218" s="29">
        <v>11312.431644185199</v>
      </c>
      <c r="FM218" s="139">
        <v>12155.261221486388</v>
      </c>
      <c r="FN218" s="139">
        <v>11816.60516605166</v>
      </c>
      <c r="FO218" s="172">
        <f t="shared" si="9"/>
        <v>336.26666666666665</v>
      </c>
      <c r="FP218" s="170">
        <f t="shared" si="10"/>
        <v>124.08364083640835</v>
      </c>
      <c r="FR218" s="175"/>
      <c r="FS218" s="195"/>
      <c r="FV218" s="175">
        <v>1504</v>
      </c>
      <c r="FW218" s="2">
        <f t="shared" si="11"/>
        <v>-1504</v>
      </c>
      <c r="FZ218" s="186"/>
      <c r="GA218" s="2"/>
      <c r="GB218" s="2"/>
    </row>
    <row r="219" spans="1:184" ht="13" x14ac:dyDescent="0.3">
      <c r="A219" s="77">
        <v>694</v>
      </c>
      <c r="B219" s="75" t="s">
        <v>210</v>
      </c>
      <c r="C219" s="179">
        <v>28736</v>
      </c>
      <c r="D219" s="138"/>
      <c r="E219" s="142">
        <v>0.57670853276712131</v>
      </c>
      <c r="F219" s="142">
        <v>76.283384413309989</v>
      </c>
      <c r="G219" s="183">
        <v>-4595.0723830734969</v>
      </c>
      <c r="H219" s="144"/>
      <c r="I219" s="186"/>
      <c r="K219" s="210">
        <v>38.768886255511212</v>
      </c>
      <c r="L219" s="143">
        <v>66.119153674832972</v>
      </c>
      <c r="M219" s="146">
        <v>3.2419873592879318</v>
      </c>
      <c r="N219" s="143">
        <v>7444.042316258352</v>
      </c>
      <c r="O219" s="138">
        <v>63553</v>
      </c>
      <c r="P219" s="143">
        <v>27450</v>
      </c>
      <c r="Q219" s="184">
        <v>169054</v>
      </c>
      <c r="R219" s="184">
        <v>-141604</v>
      </c>
      <c r="S219" s="139">
        <v>119998</v>
      </c>
      <c r="T219" s="138">
        <v>35272</v>
      </c>
      <c r="U219" s="151"/>
      <c r="W219" s="183">
        <v>-784</v>
      </c>
      <c r="X219" s="183">
        <v>2348</v>
      </c>
      <c r="Y219" s="184">
        <v>15230</v>
      </c>
      <c r="Z219" s="130">
        <v>17868</v>
      </c>
      <c r="AA219" s="130">
        <v>0</v>
      </c>
      <c r="AB219" s="130">
        <v>0</v>
      </c>
      <c r="AC219" s="184">
        <v>-2638</v>
      </c>
      <c r="AD219" s="183">
        <v>47</v>
      </c>
      <c r="AE219" s="183">
        <v>0</v>
      </c>
      <c r="AF219" s="183">
        <v>0</v>
      </c>
      <c r="AG219" s="183">
        <v>-2591</v>
      </c>
      <c r="AH219" s="183">
        <v>20339</v>
      </c>
      <c r="AI219" s="183">
        <v>13016</v>
      </c>
      <c r="AJ219" s="167"/>
      <c r="AK219" s="183">
        <v>621</v>
      </c>
      <c r="AL219" s="183">
        <v>-26992</v>
      </c>
      <c r="AM219" s="180">
        <v>-2589</v>
      </c>
      <c r="AN219" s="139">
        <v>119998</v>
      </c>
      <c r="AO219" s="138">
        <v>102234</v>
      </c>
      <c r="AP219" s="184">
        <v>8036</v>
      </c>
      <c r="AQ219" s="138">
        <v>9728</v>
      </c>
      <c r="AR219" s="109">
        <v>20.5</v>
      </c>
      <c r="AS219" s="144"/>
      <c r="AT219" s="139">
        <v>39</v>
      </c>
      <c r="AU219" s="228">
        <v>28793</v>
      </c>
      <c r="AV219" s="138"/>
      <c r="AW219" s="224">
        <v>1.2455176796332441</v>
      </c>
      <c r="AX219" s="225">
        <v>53.824244529350466</v>
      </c>
      <c r="AY219" s="139">
        <v>-2942.5554822352656</v>
      </c>
      <c r="AZ219" s="144"/>
      <c r="BA219"/>
      <c r="BC219" s="189">
        <v>59.402942425457098</v>
      </c>
      <c r="BD219" s="183">
        <v>348.52221025943805</v>
      </c>
      <c r="BE219" s="140">
        <v>15.98990256168474</v>
      </c>
      <c r="BF219" s="139">
        <v>7955.6836731149933</v>
      </c>
      <c r="BG219" s="184">
        <v>65156</v>
      </c>
      <c r="BH219" s="216">
        <v>29499</v>
      </c>
      <c r="BI219" s="216">
        <v>175725</v>
      </c>
      <c r="BJ219" s="216">
        <v>-146226</v>
      </c>
      <c r="BK219" s="216">
        <v>121679</v>
      </c>
      <c r="BL219" s="216">
        <v>35957</v>
      </c>
      <c r="BM219" s="151"/>
      <c r="BO219" s="216">
        <v>-522</v>
      </c>
      <c r="BP219" s="216">
        <v>2284</v>
      </c>
      <c r="BQ219" s="216">
        <v>13172</v>
      </c>
      <c r="BR219" s="216">
        <v>-932</v>
      </c>
      <c r="BS219" s="216">
        <v>46586</v>
      </c>
      <c r="BT219" s="216">
        <v>0</v>
      </c>
      <c r="BU219" s="216">
        <v>60690</v>
      </c>
      <c r="BV219" s="183">
        <v>47</v>
      </c>
      <c r="BW219" s="183">
        <v>0</v>
      </c>
      <c r="BX219" s="183">
        <v>0</v>
      </c>
      <c r="BY219" s="183">
        <v>60737</v>
      </c>
      <c r="BZ219" s="183">
        <v>80076</v>
      </c>
      <c r="CA219" s="183">
        <v>12040</v>
      </c>
      <c r="CB219" s="167"/>
      <c r="CC219" s="183">
        <v>-522</v>
      </c>
      <c r="CD219" s="183">
        <v>-35182</v>
      </c>
      <c r="CE219" s="180">
        <v>47280</v>
      </c>
      <c r="CF219" s="139">
        <v>121679</v>
      </c>
      <c r="CG219" s="216">
        <v>103979</v>
      </c>
      <c r="CH219" s="216">
        <v>7900</v>
      </c>
      <c r="CI219" s="216">
        <v>9800</v>
      </c>
      <c r="CJ219" s="212">
        <v>20.5</v>
      </c>
      <c r="CK219" s="144"/>
      <c r="CL219" s="130">
        <v>41</v>
      </c>
      <c r="CM219" s="228">
        <v>28710</v>
      </c>
      <c r="CN219" s="138"/>
      <c r="CO219" s="142">
        <v>1.1610871566300083</v>
      </c>
      <c r="CP219" s="142">
        <v>47.419860995656727</v>
      </c>
      <c r="CQ219" s="183">
        <v>-2503.4831069313827</v>
      </c>
      <c r="CR219" s="144"/>
      <c r="CS219"/>
      <c r="CU219" s="232">
        <v>62.510866746991624</v>
      </c>
      <c r="CV219" s="143">
        <v>633.75130616509932</v>
      </c>
      <c r="CW219" s="146">
        <v>30.886743838859253</v>
      </c>
      <c r="CX219" s="143">
        <v>7489.2720306513411</v>
      </c>
      <c r="CY219" s="131">
        <v>67703</v>
      </c>
      <c r="CZ219" s="229">
        <v>29448</v>
      </c>
      <c r="DA219" s="229">
        <v>181906</v>
      </c>
      <c r="DB219" s="216">
        <v>-152458</v>
      </c>
      <c r="DC219" s="229">
        <v>126406</v>
      </c>
      <c r="DD219" s="229">
        <v>47805</v>
      </c>
      <c r="DE219" s="151"/>
      <c r="DG219" s="229">
        <v>-300</v>
      </c>
      <c r="DH219" s="229">
        <v>2139</v>
      </c>
      <c r="DI219" s="229">
        <v>23592</v>
      </c>
      <c r="DJ219" s="229">
        <v>9323</v>
      </c>
      <c r="DK219" s="229">
        <v>0</v>
      </c>
      <c r="DL219" s="229">
        <v>0</v>
      </c>
      <c r="DM219" s="229">
        <v>14269</v>
      </c>
      <c r="DN219" s="130">
        <v>47</v>
      </c>
      <c r="DO219" s="130">
        <v>0</v>
      </c>
      <c r="DP219" s="130">
        <v>50</v>
      </c>
      <c r="DQ219" s="130">
        <v>14366</v>
      </c>
      <c r="DR219" s="130">
        <v>94442</v>
      </c>
      <c r="DS219" s="130">
        <v>23177</v>
      </c>
      <c r="DT219" s="167"/>
      <c r="DU219" s="183">
        <v>-372</v>
      </c>
      <c r="DV219" s="183">
        <v>-20267</v>
      </c>
      <c r="DW219" s="180">
        <v>12809</v>
      </c>
      <c r="DX219" s="130">
        <v>126406</v>
      </c>
      <c r="DY219" s="229">
        <v>109300</v>
      </c>
      <c r="DZ219" s="229">
        <v>8110</v>
      </c>
      <c r="EA219" s="229">
        <v>8996</v>
      </c>
      <c r="EB219" s="212">
        <v>20.5</v>
      </c>
      <c r="EC219" s="208"/>
      <c r="ED219" s="183">
        <v>77.191176470588303</v>
      </c>
      <c r="EE219" s="3">
        <v>86171</v>
      </c>
      <c r="EF219" s="183">
        <v>91071</v>
      </c>
      <c r="EG219" s="130">
        <v>93641</v>
      </c>
      <c r="EH219" s="130"/>
      <c r="EI219" s="130"/>
      <c r="EJ219" s="130"/>
      <c r="EK219" s="183">
        <v>-17035</v>
      </c>
      <c r="EL219" s="183">
        <v>120</v>
      </c>
      <c r="EM219" s="183">
        <v>1310</v>
      </c>
      <c r="EN219" s="226">
        <v>-17594</v>
      </c>
      <c r="EO219" s="226">
        <v>72</v>
      </c>
      <c r="EP219" s="226">
        <v>52762</v>
      </c>
      <c r="EQ219" s="226">
        <v>-12808</v>
      </c>
      <c r="ER219" s="230">
        <v>1388</v>
      </c>
      <c r="ES219" s="230">
        <v>1052</v>
      </c>
      <c r="ET219" s="3">
        <v>20000</v>
      </c>
      <c r="EU219" s="211">
        <v>3600</v>
      </c>
      <c r="EV219" s="183">
        <v>0</v>
      </c>
      <c r="EW219" s="183">
        <v>-3600</v>
      </c>
      <c r="EX219" s="130">
        <v>0</v>
      </c>
      <c r="EY219" s="183">
        <v>13000</v>
      </c>
      <c r="EZ219" s="3">
        <v>115437</v>
      </c>
      <c r="FA219" s="3">
        <v>88335</v>
      </c>
      <c r="FB219" s="3">
        <v>27102</v>
      </c>
      <c r="FC219" s="3">
        <v>0</v>
      </c>
      <c r="FD219" s="226">
        <v>76655</v>
      </c>
      <c r="FE219" s="183">
        <v>56388</v>
      </c>
      <c r="FF219" s="183">
        <v>20267</v>
      </c>
      <c r="FG219" s="183">
        <v>0</v>
      </c>
      <c r="FH219" s="230">
        <v>69388</v>
      </c>
      <c r="FI219" s="130">
        <v>36116</v>
      </c>
      <c r="FJ219" s="130">
        <v>33272</v>
      </c>
      <c r="FK219" s="130">
        <v>0</v>
      </c>
      <c r="FL219" s="29">
        <v>5734.13140311804</v>
      </c>
      <c r="FM219" s="139">
        <v>4674.6431424304519</v>
      </c>
      <c r="FN219" s="139">
        <v>4365.2734238941139</v>
      </c>
      <c r="FO219" s="172">
        <f t="shared" si="9"/>
        <v>5331.707317073171</v>
      </c>
      <c r="FP219" s="170">
        <f t="shared" si="10"/>
        <v>185.70906712201918</v>
      </c>
      <c r="FR219" s="175"/>
      <c r="FS219" s="195"/>
      <c r="FV219" s="175">
        <v>18773</v>
      </c>
      <c r="FW219" s="2">
        <f t="shared" si="11"/>
        <v>-18773</v>
      </c>
      <c r="FZ219" s="186"/>
      <c r="GA219" s="2"/>
      <c r="GB219" s="2"/>
    </row>
    <row r="220" spans="1:184" ht="13" x14ac:dyDescent="0.3">
      <c r="A220" s="77">
        <v>697</v>
      </c>
      <c r="B220" s="75" t="s">
        <v>211</v>
      </c>
      <c r="C220" s="179">
        <v>1288</v>
      </c>
      <c r="D220" s="138"/>
      <c r="E220" s="142">
        <v>-4.0925266903914591E-2</v>
      </c>
      <c r="F220" s="142">
        <v>41.804800880390673</v>
      </c>
      <c r="G220" s="183">
        <v>-3302.7950310559008</v>
      </c>
      <c r="H220" s="144"/>
      <c r="I220" s="186"/>
      <c r="K220" s="210">
        <v>48.179343202314108</v>
      </c>
      <c r="L220" s="143">
        <v>1053.5714285714287</v>
      </c>
      <c r="M220" s="146">
        <v>32.417370246743893</v>
      </c>
      <c r="N220" s="143">
        <v>11862.577639751553</v>
      </c>
      <c r="O220" s="138">
        <v>4380</v>
      </c>
      <c r="P220" s="143">
        <v>3946</v>
      </c>
      <c r="Q220" s="184">
        <v>14568</v>
      </c>
      <c r="R220" s="184">
        <v>-10622</v>
      </c>
      <c r="S220" s="139">
        <v>4816</v>
      </c>
      <c r="T220" s="138">
        <v>5777</v>
      </c>
      <c r="U220" s="151"/>
      <c r="W220" s="183">
        <v>-22</v>
      </c>
      <c r="X220" s="183">
        <v>-4</v>
      </c>
      <c r="Y220" s="184">
        <v>-55</v>
      </c>
      <c r="Z220" s="130">
        <v>566</v>
      </c>
      <c r="AA220" s="130">
        <v>0</v>
      </c>
      <c r="AB220" s="130">
        <v>0</v>
      </c>
      <c r="AC220" s="184">
        <v>-621</v>
      </c>
      <c r="AD220" s="184">
        <v>74</v>
      </c>
      <c r="AE220" s="184">
        <v>0</v>
      </c>
      <c r="AF220" s="183">
        <v>0</v>
      </c>
      <c r="AG220" s="183">
        <v>-547</v>
      </c>
      <c r="AH220" s="183">
        <v>1315</v>
      </c>
      <c r="AI220" s="183">
        <v>-68</v>
      </c>
      <c r="AJ220" s="167"/>
      <c r="AK220" s="183">
        <v>182</v>
      </c>
      <c r="AL220" s="183">
        <v>-530</v>
      </c>
      <c r="AM220" s="180">
        <v>-179</v>
      </c>
      <c r="AN220" s="139">
        <v>4816</v>
      </c>
      <c r="AO220" s="138">
        <v>3555</v>
      </c>
      <c r="AP220" s="184">
        <v>443</v>
      </c>
      <c r="AQ220" s="138">
        <v>818</v>
      </c>
      <c r="AR220" s="109">
        <v>21.5</v>
      </c>
      <c r="AS220" s="144"/>
      <c r="AT220" s="139">
        <v>266</v>
      </c>
      <c r="AU220" s="228">
        <v>1272</v>
      </c>
      <c r="AV220" s="138"/>
      <c r="AW220" s="224">
        <v>0.52897163737602226</v>
      </c>
      <c r="AX220" s="225">
        <v>46.925902821099328</v>
      </c>
      <c r="AY220" s="139">
        <v>-3339.6226415094338</v>
      </c>
      <c r="AZ220" s="144"/>
      <c r="BA220"/>
      <c r="BC220" s="189">
        <v>44.976076555023923</v>
      </c>
      <c r="BD220" s="183">
        <v>1593.5534591194969</v>
      </c>
      <c r="BE220" s="140">
        <v>49.274392274392277</v>
      </c>
      <c r="BF220" s="139">
        <v>11804.245283018869</v>
      </c>
      <c r="BG220" s="184">
        <v>4160</v>
      </c>
      <c r="BH220" s="216">
        <v>3425</v>
      </c>
      <c r="BI220" s="216">
        <v>14080</v>
      </c>
      <c r="BJ220" s="216">
        <v>-10655</v>
      </c>
      <c r="BK220" s="216">
        <v>4951</v>
      </c>
      <c r="BL220" s="216">
        <v>6051</v>
      </c>
      <c r="BM220" s="151"/>
      <c r="BO220" s="216">
        <v>-19</v>
      </c>
      <c r="BP220" s="216">
        <v>24</v>
      </c>
      <c r="BQ220" s="216">
        <v>352</v>
      </c>
      <c r="BR220" s="216">
        <v>468</v>
      </c>
      <c r="BS220" s="216">
        <v>0</v>
      </c>
      <c r="BT220" s="216">
        <v>0</v>
      </c>
      <c r="BU220" s="216">
        <v>-116</v>
      </c>
      <c r="BV220" s="184">
        <v>74</v>
      </c>
      <c r="BW220" s="184">
        <v>0</v>
      </c>
      <c r="BX220" s="183">
        <v>0</v>
      </c>
      <c r="BY220" s="183">
        <v>-42</v>
      </c>
      <c r="BZ220" s="183">
        <v>1273</v>
      </c>
      <c r="CA220" s="183">
        <v>330</v>
      </c>
      <c r="CB220" s="167"/>
      <c r="CC220" s="183">
        <v>-29</v>
      </c>
      <c r="CD220" s="183">
        <v>-505</v>
      </c>
      <c r="CE220" s="180">
        <v>-18</v>
      </c>
      <c r="CF220" s="139">
        <v>4951</v>
      </c>
      <c r="CG220" s="216">
        <v>3658</v>
      </c>
      <c r="CH220" s="216">
        <v>456</v>
      </c>
      <c r="CI220" s="216">
        <v>837</v>
      </c>
      <c r="CJ220" s="212">
        <v>21.5</v>
      </c>
      <c r="CK220" s="144"/>
      <c r="CL220" s="130">
        <v>96</v>
      </c>
      <c r="CM220" s="228">
        <v>1235</v>
      </c>
      <c r="CN220" s="138"/>
      <c r="CO220" s="142">
        <v>0.58983666061705986</v>
      </c>
      <c r="CP220" s="142">
        <v>41.722203893104584</v>
      </c>
      <c r="CQ220" s="183">
        <v>-3246.9635627530365</v>
      </c>
      <c r="CR220" s="144"/>
      <c r="CS220"/>
      <c r="CU220" s="232">
        <v>46.265999830465375</v>
      </c>
      <c r="CV220" s="143">
        <v>1245.3441295546559</v>
      </c>
      <c r="CW220" s="146">
        <v>34.81148455909711</v>
      </c>
      <c r="CX220" s="143">
        <v>13057.48987854251</v>
      </c>
      <c r="CY220" s="131">
        <v>3889</v>
      </c>
      <c r="CZ220" s="229">
        <v>3751</v>
      </c>
      <c r="DA220" s="229">
        <v>14855</v>
      </c>
      <c r="DB220" s="216">
        <v>-11104</v>
      </c>
      <c r="DC220" s="229">
        <v>4914</v>
      </c>
      <c r="DD220" s="229">
        <v>6490</v>
      </c>
      <c r="DE220" s="151"/>
      <c r="DG220" s="229">
        <v>-13</v>
      </c>
      <c r="DH220" s="229">
        <v>7</v>
      </c>
      <c r="DI220" s="229">
        <v>294</v>
      </c>
      <c r="DJ220" s="229">
        <v>381</v>
      </c>
      <c r="DK220" s="229">
        <v>0</v>
      </c>
      <c r="DL220" s="229">
        <v>0</v>
      </c>
      <c r="DM220" s="229">
        <v>-87</v>
      </c>
      <c r="DN220" s="131">
        <v>-537</v>
      </c>
      <c r="DO220" s="131">
        <v>542</v>
      </c>
      <c r="DP220" s="130">
        <v>0</v>
      </c>
      <c r="DQ220" s="130">
        <v>-82</v>
      </c>
      <c r="DR220" s="130">
        <v>1190</v>
      </c>
      <c r="DS220" s="130">
        <v>-9</v>
      </c>
      <c r="DT220" s="167"/>
      <c r="DU220" s="183">
        <v>-280</v>
      </c>
      <c r="DV220" s="183">
        <v>-520</v>
      </c>
      <c r="DW220" s="180">
        <v>341</v>
      </c>
      <c r="DX220" s="130">
        <v>4914</v>
      </c>
      <c r="DY220" s="229">
        <v>3649</v>
      </c>
      <c r="DZ220" s="229">
        <v>509</v>
      </c>
      <c r="EA220" s="229">
        <v>756</v>
      </c>
      <c r="EB220" s="212">
        <v>21.5</v>
      </c>
      <c r="EC220" s="208"/>
      <c r="ED220" s="183">
        <v>281.68382352941097</v>
      </c>
      <c r="EE220" s="3">
        <v>9188</v>
      </c>
      <c r="EF220" s="183">
        <v>9085</v>
      </c>
      <c r="EG220" s="130">
        <v>9896</v>
      </c>
      <c r="EH220" s="130"/>
      <c r="EI220" s="130">
        <v>180</v>
      </c>
      <c r="EJ220" s="130"/>
      <c r="EK220" s="183">
        <v>-154</v>
      </c>
      <c r="EL220" s="183">
        <v>14</v>
      </c>
      <c r="EM220" s="183">
        <v>29</v>
      </c>
      <c r="EN220" s="226">
        <v>-400</v>
      </c>
      <c r="EO220" s="226">
        <v>29</v>
      </c>
      <c r="EP220" s="226">
        <v>23</v>
      </c>
      <c r="EQ220" s="226">
        <v>-716</v>
      </c>
      <c r="ER220" s="230">
        <v>0</v>
      </c>
      <c r="ES220" s="230">
        <v>1066</v>
      </c>
      <c r="ET220" s="3">
        <v>0</v>
      </c>
      <c r="EU220" s="211">
        <v>100</v>
      </c>
      <c r="EV220" s="183">
        <v>800</v>
      </c>
      <c r="EW220" s="183">
        <v>250</v>
      </c>
      <c r="EX220" s="130">
        <v>400</v>
      </c>
      <c r="EY220" s="183">
        <v>-400</v>
      </c>
      <c r="EZ220" s="3">
        <v>4606</v>
      </c>
      <c r="FA220" s="3">
        <v>2801</v>
      </c>
      <c r="FB220" s="3">
        <v>1805</v>
      </c>
      <c r="FC220" s="3">
        <v>962</v>
      </c>
      <c r="FD220" s="226">
        <v>5151</v>
      </c>
      <c r="FE220" s="183">
        <v>3081</v>
      </c>
      <c r="FF220" s="183">
        <v>2070</v>
      </c>
      <c r="FG220" s="183">
        <v>938</v>
      </c>
      <c r="FH220" s="230">
        <v>4631</v>
      </c>
      <c r="FI220" s="130">
        <v>2921</v>
      </c>
      <c r="FJ220" s="130">
        <v>1710</v>
      </c>
      <c r="FK220" s="130">
        <v>890</v>
      </c>
      <c r="FL220" s="29">
        <v>5896.7391304347821</v>
      </c>
      <c r="FM220" s="139">
        <v>7125</v>
      </c>
      <c r="FN220" s="139">
        <v>7432.3886639676111</v>
      </c>
      <c r="FO220" s="172">
        <f t="shared" si="9"/>
        <v>169.72093023255815</v>
      </c>
      <c r="FP220" s="170">
        <f t="shared" si="10"/>
        <v>137.42585443931836</v>
      </c>
      <c r="FR220" s="175"/>
      <c r="FS220" s="195"/>
      <c r="FV220" s="175">
        <v>312</v>
      </c>
      <c r="FW220" s="2">
        <f t="shared" si="11"/>
        <v>-312</v>
      </c>
      <c r="FZ220" s="186"/>
      <c r="GA220" s="2"/>
      <c r="GB220" s="2"/>
    </row>
    <row r="221" spans="1:184" ht="13" x14ac:dyDescent="0.3">
      <c r="A221" s="77">
        <v>698</v>
      </c>
      <c r="B221" s="75" t="s">
        <v>212</v>
      </c>
      <c r="C221" s="179">
        <v>62922</v>
      </c>
      <c r="D221" s="138"/>
      <c r="E221" s="142">
        <v>-0.30651933701657458</v>
      </c>
      <c r="F221" s="142">
        <v>68.900650865149586</v>
      </c>
      <c r="G221" s="183">
        <v>-3400.1621054639077</v>
      </c>
      <c r="H221" s="144"/>
      <c r="I221" s="186"/>
      <c r="K221" s="210">
        <v>48.768756779558878</v>
      </c>
      <c r="L221" s="143">
        <v>650.26540796541758</v>
      </c>
      <c r="M221" s="146">
        <v>32.269533275713052</v>
      </c>
      <c r="N221" s="143">
        <v>7355.1381074981728</v>
      </c>
      <c r="O221" s="138">
        <v>140709</v>
      </c>
      <c r="P221" s="143">
        <v>52459</v>
      </c>
      <c r="Q221" s="184">
        <v>409334</v>
      </c>
      <c r="R221" s="184">
        <v>-356875</v>
      </c>
      <c r="S221" s="139">
        <v>246048</v>
      </c>
      <c r="T221" s="138">
        <v>94926</v>
      </c>
      <c r="U221" s="151"/>
      <c r="W221" s="183">
        <v>4871</v>
      </c>
      <c r="X221" s="183">
        <v>4481</v>
      </c>
      <c r="Y221" s="184">
        <v>-6549</v>
      </c>
      <c r="Z221" s="130">
        <v>13979</v>
      </c>
      <c r="AA221" s="131">
        <v>381</v>
      </c>
      <c r="AB221" s="131">
        <v>2316</v>
      </c>
      <c r="AC221" s="184">
        <v>-22463</v>
      </c>
      <c r="AD221" s="184">
        <v>323</v>
      </c>
      <c r="AE221" s="183">
        <v>0</v>
      </c>
      <c r="AF221" s="183">
        <v>0</v>
      </c>
      <c r="AG221" s="183">
        <v>-22140</v>
      </c>
      <c r="AH221" s="183">
        <v>45168</v>
      </c>
      <c r="AI221" s="183">
        <v>-11141</v>
      </c>
      <c r="AJ221" s="167"/>
      <c r="AK221" s="183">
        <v>1101</v>
      </c>
      <c r="AL221" s="183">
        <v>-11187</v>
      </c>
      <c r="AM221" s="180">
        <v>-29919</v>
      </c>
      <c r="AN221" s="139">
        <v>246048</v>
      </c>
      <c r="AO221" s="138">
        <v>204832</v>
      </c>
      <c r="AP221" s="184">
        <v>10486</v>
      </c>
      <c r="AQ221" s="138">
        <v>30730</v>
      </c>
      <c r="AR221" s="109">
        <v>21</v>
      </c>
      <c r="AS221" s="144"/>
      <c r="AT221" s="139">
        <v>276</v>
      </c>
      <c r="AU221" s="228">
        <v>63042</v>
      </c>
      <c r="AV221" s="138"/>
      <c r="AW221" s="224">
        <v>-0.26733966909185936</v>
      </c>
      <c r="AX221" s="225">
        <v>79.614439483611946</v>
      </c>
      <c r="AY221" s="139">
        <v>-3912.2013895498239</v>
      </c>
      <c r="AZ221" s="144"/>
      <c r="BA221"/>
      <c r="BC221" s="189">
        <v>41.312396898413596</v>
      </c>
      <c r="BD221" s="183">
        <v>928.39694172139207</v>
      </c>
      <c r="BE221" s="140">
        <v>46.139883671455017</v>
      </c>
      <c r="BF221" s="139">
        <v>7344.2942800038072</v>
      </c>
      <c r="BG221" s="184">
        <v>145716</v>
      </c>
      <c r="BH221" s="216">
        <v>54299</v>
      </c>
      <c r="BI221" s="216">
        <v>426779</v>
      </c>
      <c r="BJ221" s="216">
        <v>-372259</v>
      </c>
      <c r="BK221" s="216">
        <v>252551</v>
      </c>
      <c r="BL221" s="216">
        <v>97652</v>
      </c>
      <c r="BM221" s="151"/>
      <c r="BO221" s="216">
        <v>4513</v>
      </c>
      <c r="BP221" s="216">
        <v>5187</v>
      </c>
      <c r="BQ221" s="216">
        <v>-12356</v>
      </c>
      <c r="BR221" s="216">
        <v>19214</v>
      </c>
      <c r="BS221" s="216">
        <v>0</v>
      </c>
      <c r="BT221" s="216">
        <v>0</v>
      </c>
      <c r="BU221" s="216">
        <v>-31570</v>
      </c>
      <c r="BV221" s="184">
        <v>323</v>
      </c>
      <c r="BW221" s="183">
        <v>0</v>
      </c>
      <c r="BX221" s="183">
        <v>0</v>
      </c>
      <c r="BY221" s="183">
        <v>-31247</v>
      </c>
      <c r="BZ221" s="183">
        <v>13921</v>
      </c>
      <c r="CA221" s="183">
        <v>-13414</v>
      </c>
      <c r="CB221" s="167"/>
      <c r="CC221" s="183">
        <v>-1227</v>
      </c>
      <c r="CD221" s="183">
        <v>-11567</v>
      </c>
      <c r="CE221" s="180">
        <v>-31504</v>
      </c>
      <c r="CF221" s="139">
        <v>252551</v>
      </c>
      <c r="CG221" s="216">
        <v>211816</v>
      </c>
      <c r="CH221" s="216">
        <v>10009</v>
      </c>
      <c r="CI221" s="216">
        <v>30726</v>
      </c>
      <c r="CJ221" s="212">
        <v>21</v>
      </c>
      <c r="CK221" s="144"/>
      <c r="CL221" s="130">
        <v>270</v>
      </c>
      <c r="CM221" s="228">
        <v>63528</v>
      </c>
      <c r="CN221" s="138"/>
      <c r="CO221" s="142">
        <v>1.6797572110396348</v>
      </c>
      <c r="CP221" s="142">
        <v>78.109964093357277</v>
      </c>
      <c r="CQ221" s="183">
        <v>-3918.225034630399</v>
      </c>
      <c r="CR221" s="144"/>
      <c r="CS221"/>
      <c r="CU221" s="232">
        <v>40.557539938051121</v>
      </c>
      <c r="CV221" s="143">
        <v>1227.8680266968895</v>
      </c>
      <c r="CW221" s="146">
        <v>59.075302104773918</v>
      </c>
      <c r="CX221" s="143">
        <v>7586.450069260798</v>
      </c>
      <c r="CY221" s="131">
        <v>146600</v>
      </c>
      <c r="CZ221" s="229">
        <v>51706</v>
      </c>
      <c r="DA221" s="229">
        <v>425584</v>
      </c>
      <c r="DB221" s="216">
        <v>-373878</v>
      </c>
      <c r="DC221" s="229">
        <v>267095</v>
      </c>
      <c r="DD221" s="229">
        <v>126891</v>
      </c>
      <c r="DE221" s="151"/>
      <c r="DG221" s="229">
        <v>4703</v>
      </c>
      <c r="DH221" s="229">
        <v>4859</v>
      </c>
      <c r="DI221" s="229">
        <v>29670</v>
      </c>
      <c r="DJ221" s="229">
        <v>17711</v>
      </c>
      <c r="DK221" s="229">
        <v>0</v>
      </c>
      <c r="DL221" s="229">
        <v>0</v>
      </c>
      <c r="DM221" s="229">
        <v>11959</v>
      </c>
      <c r="DN221" s="131">
        <v>313</v>
      </c>
      <c r="DO221" s="130">
        <v>0</v>
      </c>
      <c r="DP221" s="130">
        <v>0</v>
      </c>
      <c r="DQ221" s="130">
        <v>12272</v>
      </c>
      <c r="DR221" s="130">
        <v>26195</v>
      </c>
      <c r="DS221" s="130">
        <v>27641</v>
      </c>
      <c r="DT221" s="167"/>
      <c r="DU221" s="183">
        <v>-1080</v>
      </c>
      <c r="DV221" s="183">
        <v>-16567</v>
      </c>
      <c r="DW221" s="180">
        <v>15458</v>
      </c>
      <c r="DX221" s="130">
        <v>267095</v>
      </c>
      <c r="DY221" s="229">
        <v>227190</v>
      </c>
      <c r="DZ221" s="229">
        <v>11002</v>
      </c>
      <c r="EA221" s="229">
        <v>28903</v>
      </c>
      <c r="EB221" s="212">
        <v>21.5</v>
      </c>
      <c r="EC221" s="208"/>
      <c r="ED221" s="183">
        <v>236.35294117647001</v>
      </c>
      <c r="EE221" s="3">
        <v>205292</v>
      </c>
      <c r="EF221" s="183">
        <v>213993</v>
      </c>
      <c r="EG221" s="130">
        <v>211005</v>
      </c>
      <c r="EH221" s="130"/>
      <c r="EI221" s="130"/>
      <c r="EJ221" s="130">
        <v>2000</v>
      </c>
      <c r="EK221" s="183">
        <v>-23173</v>
      </c>
      <c r="EL221" s="183">
        <v>33</v>
      </c>
      <c r="EM221" s="183">
        <v>4362</v>
      </c>
      <c r="EN221" s="226">
        <v>-19573</v>
      </c>
      <c r="EO221" s="226">
        <v>77</v>
      </c>
      <c r="EP221" s="226">
        <v>1406</v>
      </c>
      <c r="EQ221" s="226">
        <v>-14270</v>
      </c>
      <c r="ER221" s="230">
        <v>49</v>
      </c>
      <c r="ES221" s="230">
        <v>2038</v>
      </c>
      <c r="ET221" s="3">
        <v>57000</v>
      </c>
      <c r="EU221" s="211">
        <v>0</v>
      </c>
      <c r="EV221" s="183">
        <v>60000</v>
      </c>
      <c r="EW221" s="183">
        <v>3000</v>
      </c>
      <c r="EX221" s="130">
        <v>39000</v>
      </c>
      <c r="EY221" s="183">
        <v>-5000</v>
      </c>
      <c r="EZ221" s="3">
        <v>200024</v>
      </c>
      <c r="FA221" s="3">
        <v>166457</v>
      </c>
      <c r="FB221" s="3">
        <v>33567</v>
      </c>
      <c r="FC221" s="3">
        <v>170454</v>
      </c>
      <c r="FD221" s="226">
        <v>251457</v>
      </c>
      <c r="FE221" s="183">
        <v>209890</v>
      </c>
      <c r="FF221" s="183">
        <v>41567</v>
      </c>
      <c r="FG221" s="183">
        <v>171503</v>
      </c>
      <c r="FH221" s="230">
        <v>268890</v>
      </c>
      <c r="FI221" s="130">
        <v>230732</v>
      </c>
      <c r="FJ221" s="130">
        <v>38158</v>
      </c>
      <c r="FK221" s="130">
        <v>190412</v>
      </c>
      <c r="FL221" s="29">
        <v>4270.430056260132</v>
      </c>
      <c r="FM221" s="139">
        <v>5073.0782652834614</v>
      </c>
      <c r="FN221" s="139">
        <v>5582.2314569953405</v>
      </c>
      <c r="FO221" s="172">
        <f t="shared" si="9"/>
        <v>10566.976744186046</v>
      </c>
      <c r="FP221" s="170">
        <f t="shared" si="10"/>
        <v>166.33573769339577</v>
      </c>
      <c r="FR221" s="175"/>
      <c r="FS221" s="195"/>
      <c r="FV221" s="175">
        <v>8169</v>
      </c>
      <c r="FW221" s="2">
        <f t="shared" si="11"/>
        <v>-8169</v>
      </c>
      <c r="FZ221" s="186"/>
      <c r="GA221" s="2"/>
      <c r="GB221" s="2"/>
    </row>
    <row r="222" spans="1:184" ht="13" x14ac:dyDescent="0.3">
      <c r="A222" s="77">
        <v>700</v>
      </c>
      <c r="B222" s="75" t="s">
        <v>213</v>
      </c>
      <c r="C222" s="179">
        <v>5099</v>
      </c>
      <c r="D222" s="138"/>
      <c r="E222" s="142">
        <v>1.7525691699604744</v>
      </c>
      <c r="F222" s="142">
        <v>58.410520914909128</v>
      </c>
      <c r="G222" s="183">
        <v>-3241.6160031378699</v>
      </c>
      <c r="H222" s="144"/>
      <c r="I222" s="186"/>
      <c r="K222" s="210">
        <v>51.926238613641416</v>
      </c>
      <c r="L222" s="143">
        <v>812.51225730535407</v>
      </c>
      <c r="M222" s="146">
        <v>33.910279409786071</v>
      </c>
      <c r="N222" s="143">
        <v>8745.6363992939787</v>
      </c>
      <c r="O222" s="138">
        <v>7977</v>
      </c>
      <c r="P222" s="143">
        <v>5005</v>
      </c>
      <c r="Q222" s="184">
        <v>34824</v>
      </c>
      <c r="R222" s="184">
        <v>-29819</v>
      </c>
      <c r="S222" s="139">
        <v>20835</v>
      </c>
      <c r="T222" s="138">
        <v>11191</v>
      </c>
      <c r="U222" s="151"/>
      <c r="W222" s="183">
        <v>-137</v>
      </c>
      <c r="X222" s="183">
        <v>10</v>
      </c>
      <c r="Y222" s="184">
        <v>2080</v>
      </c>
      <c r="Z222" s="130">
        <v>1899</v>
      </c>
      <c r="AA222" s="130">
        <v>0</v>
      </c>
      <c r="AB222" s="130">
        <v>0</v>
      </c>
      <c r="AC222" s="184">
        <v>181</v>
      </c>
      <c r="AD222" s="184">
        <v>114</v>
      </c>
      <c r="AE222" s="184">
        <v>0</v>
      </c>
      <c r="AF222" s="183">
        <v>0</v>
      </c>
      <c r="AG222" s="183">
        <v>295</v>
      </c>
      <c r="AH222" s="183">
        <v>7620</v>
      </c>
      <c r="AI222" s="183">
        <v>2067</v>
      </c>
      <c r="AJ222" s="167"/>
      <c r="AK222" s="183">
        <v>763</v>
      </c>
      <c r="AL222" s="183">
        <v>-1128</v>
      </c>
      <c r="AM222" s="180">
        <v>-6410</v>
      </c>
      <c r="AN222" s="139">
        <v>20835</v>
      </c>
      <c r="AO222" s="138">
        <v>17041</v>
      </c>
      <c r="AP222" s="184">
        <v>1995</v>
      </c>
      <c r="AQ222" s="138">
        <v>1799</v>
      </c>
      <c r="AR222" s="109">
        <v>20.5</v>
      </c>
      <c r="AS222" s="144"/>
      <c r="AT222" s="139">
        <v>69</v>
      </c>
      <c r="AU222" s="228">
        <v>4994</v>
      </c>
      <c r="AV222" s="138"/>
      <c r="AW222" s="224">
        <v>1.2653472701225659</v>
      </c>
      <c r="AX222" s="225">
        <v>52.712390327412798</v>
      </c>
      <c r="AY222" s="139">
        <v>-2920.7048458149779</v>
      </c>
      <c r="AZ222" s="144"/>
      <c r="BA222"/>
      <c r="BC222" s="189">
        <v>54.46237165745233</v>
      </c>
      <c r="BD222" s="183">
        <v>831.79815778934721</v>
      </c>
      <c r="BE222" s="140">
        <v>40.7386210973185</v>
      </c>
      <c r="BF222" s="139">
        <v>7452.5430516619945</v>
      </c>
      <c r="BG222" s="184">
        <v>7804</v>
      </c>
      <c r="BH222" s="216">
        <v>4941</v>
      </c>
      <c r="BI222" s="216">
        <v>34414</v>
      </c>
      <c r="BJ222" s="216">
        <v>-29473</v>
      </c>
      <c r="BK222" s="216">
        <v>21035</v>
      </c>
      <c r="BL222" s="216">
        <v>11408</v>
      </c>
      <c r="BM222" s="151"/>
      <c r="BO222" s="216">
        <v>-168</v>
      </c>
      <c r="BP222" s="216">
        <v>11</v>
      </c>
      <c r="BQ222" s="216">
        <v>2813</v>
      </c>
      <c r="BR222" s="216">
        <v>2050</v>
      </c>
      <c r="BS222" s="216">
        <v>0</v>
      </c>
      <c r="BT222" s="216">
        <v>0</v>
      </c>
      <c r="BU222" s="216">
        <v>763</v>
      </c>
      <c r="BV222" s="184">
        <v>114</v>
      </c>
      <c r="BW222" s="184">
        <v>0</v>
      </c>
      <c r="BX222" s="183">
        <v>0</v>
      </c>
      <c r="BY222" s="183">
        <v>877</v>
      </c>
      <c r="BZ222" s="183">
        <v>8497</v>
      </c>
      <c r="CA222" s="183">
        <v>3226</v>
      </c>
      <c r="CB222" s="167"/>
      <c r="CC222" s="183">
        <v>-9</v>
      </c>
      <c r="CD222" s="183">
        <v>-1137</v>
      </c>
      <c r="CE222" s="180">
        <v>1944</v>
      </c>
      <c r="CF222" s="139">
        <v>21035</v>
      </c>
      <c r="CG222" s="216">
        <v>17139</v>
      </c>
      <c r="CH222" s="216">
        <v>2058</v>
      </c>
      <c r="CI222" s="216">
        <v>1838</v>
      </c>
      <c r="CJ222" s="212">
        <v>20.5</v>
      </c>
      <c r="CK222" s="144"/>
      <c r="CL222" s="130">
        <v>20</v>
      </c>
      <c r="CM222" s="228">
        <v>4922</v>
      </c>
      <c r="CN222" s="138"/>
      <c r="CO222" s="142">
        <v>2.1966138722009831</v>
      </c>
      <c r="CP222" s="142">
        <v>46.183765216952061</v>
      </c>
      <c r="CQ222" s="183">
        <v>-2144.8598130841124</v>
      </c>
      <c r="CR222" s="144"/>
      <c r="CS222"/>
      <c r="CU222" s="232">
        <v>56.676641512707086</v>
      </c>
      <c r="CV222" s="143">
        <v>1377.4888256806175</v>
      </c>
      <c r="CW222" s="146">
        <v>64.475535407222139</v>
      </c>
      <c r="CX222" s="143">
        <v>7798.0495733441694</v>
      </c>
      <c r="CY222" s="131">
        <v>7550</v>
      </c>
      <c r="CZ222" s="229">
        <v>4835</v>
      </c>
      <c r="DA222" s="229">
        <v>35576</v>
      </c>
      <c r="DB222" s="216">
        <v>-30741</v>
      </c>
      <c r="DC222" s="229">
        <v>21417</v>
      </c>
      <c r="DD222" s="229">
        <v>13342</v>
      </c>
      <c r="DE222" s="151"/>
      <c r="DG222" s="229">
        <v>-157</v>
      </c>
      <c r="DH222" s="229">
        <v>4</v>
      </c>
      <c r="DI222" s="229">
        <v>3865</v>
      </c>
      <c r="DJ222" s="229">
        <v>1863</v>
      </c>
      <c r="DK222" s="229">
        <v>0</v>
      </c>
      <c r="DL222" s="229">
        <v>0</v>
      </c>
      <c r="DM222" s="229">
        <v>2002</v>
      </c>
      <c r="DN222" s="131">
        <v>113</v>
      </c>
      <c r="DO222" s="131">
        <v>0</v>
      </c>
      <c r="DP222" s="130">
        <v>0</v>
      </c>
      <c r="DQ222" s="130">
        <v>2115</v>
      </c>
      <c r="DR222" s="130">
        <v>10612</v>
      </c>
      <c r="DS222" s="130">
        <v>4974</v>
      </c>
      <c r="DT222" s="167"/>
      <c r="DU222" s="183">
        <v>16</v>
      </c>
      <c r="DV222" s="183">
        <v>-1674</v>
      </c>
      <c r="DW222" s="180">
        <v>4030</v>
      </c>
      <c r="DX222" s="130">
        <v>21417</v>
      </c>
      <c r="DY222" s="229">
        <v>17545</v>
      </c>
      <c r="DZ222" s="229">
        <v>2208</v>
      </c>
      <c r="EA222" s="229">
        <v>1664</v>
      </c>
      <c r="EB222" s="212">
        <v>20.5</v>
      </c>
      <c r="EC222" s="208"/>
      <c r="ED222" s="183">
        <v>93.308823529411796</v>
      </c>
      <c r="EE222" s="3">
        <v>23529</v>
      </c>
      <c r="EF222" s="183">
        <v>23958</v>
      </c>
      <c r="EG222" s="130">
        <v>24440</v>
      </c>
      <c r="EH222" s="130"/>
      <c r="EI222" s="130"/>
      <c r="EJ222" s="130"/>
      <c r="EK222" s="183">
        <v>-8502</v>
      </c>
      <c r="EL222" s="183">
        <v>0</v>
      </c>
      <c r="EM222" s="183">
        <v>25</v>
      </c>
      <c r="EN222" s="226">
        <v>-1496</v>
      </c>
      <c r="EO222" s="226">
        <v>70</v>
      </c>
      <c r="EP222" s="226">
        <v>144</v>
      </c>
      <c r="EQ222" s="226">
        <v>-971</v>
      </c>
      <c r="ER222" s="230">
        <v>20</v>
      </c>
      <c r="ES222" s="230">
        <v>7</v>
      </c>
      <c r="ET222" s="3">
        <v>7000</v>
      </c>
      <c r="EU222" s="211">
        <v>0</v>
      </c>
      <c r="EV222" s="183">
        <v>0</v>
      </c>
      <c r="EW222" s="183">
        <v>0</v>
      </c>
      <c r="EX222" s="130">
        <v>0</v>
      </c>
      <c r="EY222" s="183">
        <v>0</v>
      </c>
      <c r="EZ222" s="3">
        <v>17975</v>
      </c>
      <c r="FA222" s="3">
        <v>16838</v>
      </c>
      <c r="FB222" s="3">
        <v>1137</v>
      </c>
      <c r="FC222" s="3">
        <v>715</v>
      </c>
      <c r="FD222" s="226">
        <v>16837</v>
      </c>
      <c r="FE222" s="183">
        <v>15700</v>
      </c>
      <c r="FF222" s="183">
        <v>1137</v>
      </c>
      <c r="FG222" s="183">
        <v>715</v>
      </c>
      <c r="FH222" s="230">
        <v>15164</v>
      </c>
      <c r="FI222" s="130">
        <v>14296</v>
      </c>
      <c r="FJ222" s="130">
        <v>868</v>
      </c>
      <c r="FK222" s="130">
        <v>715</v>
      </c>
      <c r="FL222" s="29">
        <v>4646.7934889193966</v>
      </c>
      <c r="FM222" s="139">
        <v>4403.0837004405284</v>
      </c>
      <c r="FN222" s="139">
        <v>4158.6753352295818</v>
      </c>
      <c r="FO222" s="172">
        <f t="shared" si="9"/>
        <v>855.85365853658539</v>
      </c>
      <c r="FP222" s="170">
        <f t="shared" si="10"/>
        <v>173.88331136460491</v>
      </c>
      <c r="FR222" s="175"/>
      <c r="FS222" s="195"/>
      <c r="FV222" s="175">
        <v>449</v>
      </c>
      <c r="FW222" s="2">
        <f t="shared" si="11"/>
        <v>-449</v>
      </c>
      <c r="FZ222" s="186"/>
      <c r="GA222" s="2"/>
      <c r="GB222" s="2"/>
    </row>
    <row r="223" spans="1:184" ht="13" x14ac:dyDescent="0.3">
      <c r="A223" s="77">
        <v>702</v>
      </c>
      <c r="B223" s="75" t="s">
        <v>214</v>
      </c>
      <c r="C223" s="179">
        <v>4398</v>
      </c>
      <c r="D223" s="138"/>
      <c r="E223" s="142">
        <v>1.3531047265987024</v>
      </c>
      <c r="F223" s="142">
        <v>22.769148998996044</v>
      </c>
      <c r="G223" s="183">
        <v>-1203.7289677125966</v>
      </c>
      <c r="H223" s="144"/>
      <c r="I223" s="186"/>
      <c r="K223" s="210">
        <v>65.747503997925406</v>
      </c>
      <c r="L223" s="143">
        <v>264.66575716234655</v>
      </c>
      <c r="M223" s="146">
        <v>11.969235970250169</v>
      </c>
      <c r="N223" s="143">
        <v>8070.9413369713502</v>
      </c>
      <c r="O223" s="138">
        <v>7110</v>
      </c>
      <c r="P223" s="143">
        <v>4024</v>
      </c>
      <c r="Q223" s="184">
        <v>32673</v>
      </c>
      <c r="R223" s="184">
        <v>-28649</v>
      </c>
      <c r="S223" s="139">
        <v>16236</v>
      </c>
      <c r="T223" s="138">
        <v>13606</v>
      </c>
      <c r="U223" s="151"/>
      <c r="W223" s="183">
        <v>-66</v>
      </c>
      <c r="X223" s="183">
        <v>266</v>
      </c>
      <c r="Y223" s="184">
        <v>1393</v>
      </c>
      <c r="Z223" s="130">
        <v>1205</v>
      </c>
      <c r="AA223" s="130">
        <v>0</v>
      </c>
      <c r="AB223" s="130">
        <v>0</v>
      </c>
      <c r="AC223" s="184">
        <v>188</v>
      </c>
      <c r="AD223" s="184">
        <v>32</v>
      </c>
      <c r="AE223" s="183">
        <v>0</v>
      </c>
      <c r="AF223" s="183">
        <v>0</v>
      </c>
      <c r="AG223" s="183">
        <v>220</v>
      </c>
      <c r="AH223" s="183">
        <v>3145</v>
      </c>
      <c r="AI223" s="183">
        <v>1358</v>
      </c>
      <c r="AJ223" s="167"/>
      <c r="AK223" s="183">
        <v>-540</v>
      </c>
      <c r="AL223" s="183">
        <v>-1012</v>
      </c>
      <c r="AM223" s="180">
        <v>261</v>
      </c>
      <c r="AN223" s="139">
        <v>16236</v>
      </c>
      <c r="AO223" s="138">
        <v>12734</v>
      </c>
      <c r="AP223" s="184">
        <v>1950</v>
      </c>
      <c r="AQ223" s="138">
        <v>1552</v>
      </c>
      <c r="AR223" s="109">
        <v>22</v>
      </c>
      <c r="AS223" s="144"/>
      <c r="AT223" s="139">
        <v>105</v>
      </c>
      <c r="AU223" s="228">
        <v>4283</v>
      </c>
      <c r="AV223" s="138"/>
      <c r="AW223" s="224">
        <v>0.29066301458148713</v>
      </c>
      <c r="AX223" s="225">
        <v>39.210580820782909</v>
      </c>
      <c r="AY223" s="139">
        <v>-1575.0642073313097</v>
      </c>
      <c r="AZ223" s="144"/>
      <c r="BA223"/>
      <c r="BC223" s="189">
        <v>51.633517627629786</v>
      </c>
      <c r="BD223" s="183">
        <v>1052.7667522764416</v>
      </c>
      <c r="BE223" s="140">
        <v>45.107301430685744</v>
      </c>
      <c r="BF223" s="139">
        <v>8518.795236983422</v>
      </c>
      <c r="BG223" s="184">
        <v>7175</v>
      </c>
      <c r="BH223" s="216">
        <v>4153</v>
      </c>
      <c r="BI223" s="216">
        <v>33527</v>
      </c>
      <c r="BJ223" s="216">
        <v>-29374</v>
      </c>
      <c r="BK223" s="216">
        <v>16368</v>
      </c>
      <c r="BL223" s="216">
        <v>13276</v>
      </c>
      <c r="BM223" s="151"/>
      <c r="BO223" s="216">
        <v>-52</v>
      </c>
      <c r="BP223" s="216">
        <v>181</v>
      </c>
      <c r="BQ223" s="216">
        <v>399</v>
      </c>
      <c r="BR223" s="216">
        <v>1226</v>
      </c>
      <c r="BS223" s="216">
        <v>0</v>
      </c>
      <c r="BT223" s="216">
        <v>0</v>
      </c>
      <c r="BU223" s="216">
        <v>-827</v>
      </c>
      <c r="BV223" s="184">
        <v>33</v>
      </c>
      <c r="BW223" s="183">
        <v>0</v>
      </c>
      <c r="BX223" s="183">
        <v>0</v>
      </c>
      <c r="BY223" s="183">
        <v>-794</v>
      </c>
      <c r="BZ223" s="183">
        <v>2348</v>
      </c>
      <c r="CA223" s="183">
        <v>436</v>
      </c>
      <c r="CB223" s="167"/>
      <c r="CC223" s="183">
        <v>-726</v>
      </c>
      <c r="CD223" s="183">
        <v>-943</v>
      </c>
      <c r="CE223" s="180">
        <v>-1327</v>
      </c>
      <c r="CF223" s="139">
        <v>16368</v>
      </c>
      <c r="CG223" s="216">
        <v>12922</v>
      </c>
      <c r="CH223" s="216">
        <v>1802</v>
      </c>
      <c r="CI223" s="216">
        <v>1644</v>
      </c>
      <c r="CJ223" s="212">
        <v>22</v>
      </c>
      <c r="CK223" s="144"/>
      <c r="CL223" s="130">
        <v>184</v>
      </c>
      <c r="CM223" s="228">
        <v>4215</v>
      </c>
      <c r="CN223" s="138"/>
      <c r="CO223" s="142">
        <v>2.0627476882430646</v>
      </c>
      <c r="CP223" s="142">
        <v>36.860494844189418</v>
      </c>
      <c r="CQ223" s="183">
        <v>-1598.8137603795967</v>
      </c>
      <c r="CR223" s="144"/>
      <c r="CS223"/>
      <c r="CU223" s="232">
        <v>54.62486457204767</v>
      </c>
      <c r="CV223" s="143">
        <v>960.85409252669035</v>
      </c>
      <c r="CW223" s="146">
        <v>39.27964075038529</v>
      </c>
      <c r="CX223" s="143">
        <v>8928.5883748517208</v>
      </c>
      <c r="CY223" s="131">
        <v>6973</v>
      </c>
      <c r="CZ223" s="229">
        <v>3802</v>
      </c>
      <c r="DA223" s="229">
        <v>32172</v>
      </c>
      <c r="DB223" s="216">
        <v>-28370</v>
      </c>
      <c r="DC223" s="229">
        <v>16905</v>
      </c>
      <c r="DD223" s="229">
        <v>14496</v>
      </c>
      <c r="DE223" s="151"/>
      <c r="DG223" s="229">
        <v>-96</v>
      </c>
      <c r="DH223" s="229">
        <v>92</v>
      </c>
      <c r="DI223" s="229">
        <v>3027</v>
      </c>
      <c r="DJ223" s="229">
        <v>1277</v>
      </c>
      <c r="DK223" s="229">
        <v>0</v>
      </c>
      <c r="DL223" s="229">
        <v>0</v>
      </c>
      <c r="DM223" s="229">
        <v>1750</v>
      </c>
      <c r="DN223" s="131">
        <v>33</v>
      </c>
      <c r="DO223" s="130">
        <v>0</v>
      </c>
      <c r="DP223" s="130">
        <v>0</v>
      </c>
      <c r="DQ223" s="130">
        <v>1783</v>
      </c>
      <c r="DR223" s="130">
        <v>4132</v>
      </c>
      <c r="DS223" s="130">
        <v>3094</v>
      </c>
      <c r="DT223" s="167"/>
      <c r="DU223" s="183">
        <v>20</v>
      </c>
      <c r="DV223" s="183">
        <v>-1418</v>
      </c>
      <c r="DW223" s="180">
        <v>-614</v>
      </c>
      <c r="DX223" s="130">
        <v>16905</v>
      </c>
      <c r="DY223" s="229">
        <v>12890</v>
      </c>
      <c r="DZ223" s="229">
        <v>1879</v>
      </c>
      <c r="EA223" s="229">
        <v>2136</v>
      </c>
      <c r="EB223" s="212">
        <v>22</v>
      </c>
      <c r="EC223" s="208"/>
      <c r="ED223" s="183">
        <v>125.544117647058</v>
      </c>
      <c r="EE223" s="3">
        <v>23239</v>
      </c>
      <c r="EF223" s="183">
        <v>23892</v>
      </c>
      <c r="EG223" s="130">
        <v>22711</v>
      </c>
      <c r="EH223" s="130"/>
      <c r="EI223" s="130"/>
      <c r="EJ223" s="130">
        <v>300</v>
      </c>
      <c r="EK223" s="183">
        <v>-1206</v>
      </c>
      <c r="EL223" s="183">
        <v>5</v>
      </c>
      <c r="EM223" s="183">
        <v>104</v>
      </c>
      <c r="EN223" s="226">
        <v>-1819</v>
      </c>
      <c r="EO223" s="226">
        <v>33</v>
      </c>
      <c r="EP223" s="226">
        <v>23</v>
      </c>
      <c r="EQ223" s="226">
        <v>-3726</v>
      </c>
      <c r="ER223" s="230">
        <v>0</v>
      </c>
      <c r="ES223" s="230">
        <v>18</v>
      </c>
      <c r="ET223" s="3">
        <v>0</v>
      </c>
      <c r="EU223" s="211">
        <v>554</v>
      </c>
      <c r="EV223" s="183">
        <v>5000</v>
      </c>
      <c r="EW223" s="183">
        <v>1073</v>
      </c>
      <c r="EX223" s="130">
        <v>0</v>
      </c>
      <c r="EY223" s="183">
        <v>1037</v>
      </c>
      <c r="EZ223" s="3">
        <v>5614</v>
      </c>
      <c r="FA223" s="3">
        <v>2764</v>
      </c>
      <c r="FB223" s="3">
        <v>2850</v>
      </c>
      <c r="FC223" s="3">
        <v>750</v>
      </c>
      <c r="FD223" s="226">
        <v>10792</v>
      </c>
      <c r="FE223" s="183">
        <v>6286</v>
      </c>
      <c r="FF223" s="183">
        <v>4506</v>
      </c>
      <c r="FG223" s="183">
        <v>847</v>
      </c>
      <c r="FH223" s="230">
        <v>10469</v>
      </c>
      <c r="FI223" s="130">
        <v>4943</v>
      </c>
      <c r="FJ223" s="130">
        <v>5526</v>
      </c>
      <c r="FK223" s="130">
        <v>337</v>
      </c>
      <c r="FL223" s="29">
        <v>2008.8676671214189</v>
      </c>
      <c r="FM223" s="139">
        <v>3381.2748073780062</v>
      </c>
      <c r="FN223" s="139">
        <v>3539.9762752075922</v>
      </c>
      <c r="FO223" s="172">
        <f t="shared" si="9"/>
        <v>585.90909090909088</v>
      </c>
      <c r="FP223" s="170">
        <f t="shared" si="10"/>
        <v>139.00571551817103</v>
      </c>
      <c r="FR223" s="175"/>
      <c r="FS223" s="195"/>
      <c r="FV223" s="175">
        <v>1479</v>
      </c>
      <c r="FW223" s="2">
        <f t="shared" si="11"/>
        <v>-1479</v>
      </c>
      <c r="FZ223" s="186"/>
      <c r="GA223" s="2"/>
      <c r="GB223" s="2"/>
    </row>
    <row r="224" spans="1:184" ht="13" x14ac:dyDescent="0.3">
      <c r="A224" s="77">
        <v>704</v>
      </c>
      <c r="B224" s="75" t="s">
        <v>215</v>
      </c>
      <c r="C224" s="179">
        <v>6251</v>
      </c>
      <c r="D224" s="138"/>
      <c r="E224" s="142">
        <v>4.4737762237762242</v>
      </c>
      <c r="F224" s="142">
        <v>34.286385252157579</v>
      </c>
      <c r="G224" s="183">
        <v>-356.42297232442809</v>
      </c>
      <c r="H224" s="144"/>
      <c r="I224" s="186"/>
      <c r="K224" s="210">
        <v>73.995883954059622</v>
      </c>
      <c r="L224" s="143">
        <v>1151.9756838905776</v>
      </c>
      <c r="M224" s="146">
        <v>78.243778280542983</v>
      </c>
      <c r="N224" s="143">
        <v>5373.8601823708204</v>
      </c>
      <c r="O224" s="138">
        <v>9500</v>
      </c>
      <c r="P224" s="143">
        <v>4529</v>
      </c>
      <c r="Q224" s="184">
        <v>31533</v>
      </c>
      <c r="R224" s="184">
        <v>-27004</v>
      </c>
      <c r="S224" s="139">
        <v>24756</v>
      </c>
      <c r="T224" s="138">
        <v>4781</v>
      </c>
      <c r="U224" s="151"/>
      <c r="W224" s="183">
        <v>-20</v>
      </c>
      <c r="X224" s="183">
        <v>23</v>
      </c>
      <c r="Y224" s="184">
        <v>2536</v>
      </c>
      <c r="Z224" s="130">
        <v>1653</v>
      </c>
      <c r="AA224" s="130">
        <v>0</v>
      </c>
      <c r="AB224" s="130">
        <v>0</v>
      </c>
      <c r="AC224" s="184">
        <v>883</v>
      </c>
      <c r="AD224" s="183">
        <v>19</v>
      </c>
      <c r="AE224" s="183">
        <v>0</v>
      </c>
      <c r="AF224" s="183">
        <v>0</v>
      </c>
      <c r="AG224" s="183">
        <v>902</v>
      </c>
      <c r="AH224" s="183">
        <v>14968</v>
      </c>
      <c r="AI224" s="183">
        <v>1930</v>
      </c>
      <c r="AJ224" s="167"/>
      <c r="AK224" s="183">
        <v>638</v>
      </c>
      <c r="AL224" s="183">
        <v>-549</v>
      </c>
      <c r="AM224" s="180">
        <v>1158</v>
      </c>
      <c r="AN224" s="139">
        <v>24756</v>
      </c>
      <c r="AO224" s="138">
        <v>22412</v>
      </c>
      <c r="AP224" s="184">
        <v>1163</v>
      </c>
      <c r="AQ224" s="138">
        <v>1181</v>
      </c>
      <c r="AR224" s="109">
        <v>19.75</v>
      </c>
      <c r="AS224" s="144"/>
      <c r="AT224" s="139">
        <v>71</v>
      </c>
      <c r="AU224" s="228">
        <v>6327</v>
      </c>
      <c r="AV224" s="138"/>
      <c r="AW224" s="224">
        <v>-4.944375772558714E-3</v>
      </c>
      <c r="AX224" s="225">
        <v>39.556551480127375</v>
      </c>
      <c r="AY224" s="139">
        <v>-1047.4158368895212</v>
      </c>
      <c r="AZ224" s="144"/>
      <c r="BA224"/>
      <c r="BC224" s="189">
        <v>70.165892501658931</v>
      </c>
      <c r="BD224" s="183">
        <v>823.45503398134974</v>
      </c>
      <c r="BE224" s="140">
        <v>47.904123737310123</v>
      </c>
      <c r="BF224" s="139">
        <v>6274.2215900110641</v>
      </c>
      <c r="BG224" s="184">
        <v>9987</v>
      </c>
      <c r="BH224" s="216">
        <v>4375</v>
      </c>
      <c r="BI224" s="216">
        <v>33993</v>
      </c>
      <c r="BJ224" s="216">
        <v>-29618</v>
      </c>
      <c r="BK224" s="216">
        <v>24747</v>
      </c>
      <c r="BL224" s="216">
        <v>4794</v>
      </c>
      <c r="BM224" s="151"/>
      <c r="BO224" s="216">
        <v>-19</v>
      </c>
      <c r="BP224" s="216">
        <v>68</v>
      </c>
      <c r="BQ224" s="216">
        <v>-28</v>
      </c>
      <c r="BR224" s="216">
        <v>1687</v>
      </c>
      <c r="BS224" s="216">
        <v>0</v>
      </c>
      <c r="BT224" s="216">
        <v>0</v>
      </c>
      <c r="BU224" s="216">
        <v>-1715</v>
      </c>
      <c r="BV224" s="183">
        <v>19</v>
      </c>
      <c r="BW224" s="183">
        <v>0</v>
      </c>
      <c r="BX224" s="183">
        <v>0</v>
      </c>
      <c r="BY224" s="183">
        <v>-1696</v>
      </c>
      <c r="BZ224" s="183">
        <v>13271</v>
      </c>
      <c r="CA224" s="183">
        <v>-481</v>
      </c>
      <c r="CB224" s="167"/>
      <c r="CC224" s="183">
        <v>673</v>
      </c>
      <c r="CD224" s="183">
        <v>-549</v>
      </c>
      <c r="CE224" s="180">
        <v>-4410</v>
      </c>
      <c r="CF224" s="139">
        <v>24747</v>
      </c>
      <c r="CG224" s="216">
        <v>22214</v>
      </c>
      <c r="CH224" s="216">
        <v>1326</v>
      </c>
      <c r="CI224" s="216">
        <v>1207</v>
      </c>
      <c r="CJ224" s="212">
        <v>19.75</v>
      </c>
      <c r="CK224" s="144"/>
      <c r="CL224" s="130">
        <v>234</v>
      </c>
      <c r="CM224" s="228">
        <v>6354</v>
      </c>
      <c r="CN224" s="138"/>
      <c r="CO224" s="142">
        <v>7.2336956521739131</v>
      </c>
      <c r="CP224" s="142">
        <v>34.021543985637344</v>
      </c>
      <c r="CQ224" s="183">
        <v>-634.71828769279193</v>
      </c>
      <c r="CR224" s="144"/>
      <c r="CS224"/>
      <c r="CU224" s="232">
        <v>71.797474779519064</v>
      </c>
      <c r="CV224" s="143">
        <v>1197.9855209316966</v>
      </c>
      <c r="CW224" s="146">
        <v>74.141538133105627</v>
      </c>
      <c r="CX224" s="143">
        <v>5897.7022348127166</v>
      </c>
      <c r="CY224" s="131">
        <v>10266</v>
      </c>
      <c r="CZ224" s="229">
        <v>4837</v>
      </c>
      <c r="DA224" s="229">
        <v>35038</v>
      </c>
      <c r="DB224" s="216">
        <v>-30201</v>
      </c>
      <c r="DC224" s="229">
        <v>26374</v>
      </c>
      <c r="DD224" s="229">
        <v>7779</v>
      </c>
      <c r="DE224" s="151"/>
      <c r="DG224" s="229">
        <v>-3</v>
      </c>
      <c r="DH224" s="229">
        <v>40</v>
      </c>
      <c r="DI224" s="229">
        <v>3989</v>
      </c>
      <c r="DJ224" s="229">
        <v>1714</v>
      </c>
      <c r="DK224" s="229">
        <v>0</v>
      </c>
      <c r="DL224" s="229">
        <v>0</v>
      </c>
      <c r="DM224" s="229">
        <v>2275</v>
      </c>
      <c r="DN224" s="130">
        <v>19</v>
      </c>
      <c r="DO224" s="130">
        <v>0</v>
      </c>
      <c r="DP224" s="130">
        <v>0</v>
      </c>
      <c r="DQ224" s="130">
        <v>2294</v>
      </c>
      <c r="DR224" s="130">
        <v>15565</v>
      </c>
      <c r="DS224" s="130">
        <v>3100</v>
      </c>
      <c r="DT224" s="167"/>
      <c r="DU224" s="183">
        <v>-41</v>
      </c>
      <c r="DV224" s="183">
        <v>-548</v>
      </c>
      <c r="DW224" s="180">
        <v>2585</v>
      </c>
      <c r="DX224" s="130">
        <v>26374</v>
      </c>
      <c r="DY224" s="229">
        <v>23874</v>
      </c>
      <c r="DZ224" s="229">
        <v>1406</v>
      </c>
      <c r="EA224" s="229">
        <v>1094</v>
      </c>
      <c r="EB224" s="212">
        <v>19.75</v>
      </c>
      <c r="EC224" s="208"/>
      <c r="ED224" s="183">
        <v>168.86029411764699</v>
      </c>
      <c r="EE224" s="3">
        <v>18777</v>
      </c>
      <c r="EF224" s="183">
        <v>20562</v>
      </c>
      <c r="EG224" s="130">
        <v>21239</v>
      </c>
      <c r="EH224" s="130"/>
      <c r="EI224" s="130"/>
      <c r="EJ224" s="130"/>
      <c r="EK224" s="183">
        <v>-1475</v>
      </c>
      <c r="EL224" s="183">
        <v>26</v>
      </c>
      <c r="EM224" s="183">
        <v>677</v>
      </c>
      <c r="EN224" s="226">
        <v>-5131</v>
      </c>
      <c r="EO224" s="226">
        <v>550</v>
      </c>
      <c r="EP224" s="226">
        <v>652</v>
      </c>
      <c r="EQ224" s="226">
        <v>-1883</v>
      </c>
      <c r="ER224" s="230">
        <v>168</v>
      </c>
      <c r="ES224" s="230">
        <v>1200</v>
      </c>
      <c r="ET224" s="3">
        <v>0</v>
      </c>
      <c r="EU224" s="211">
        <v>0</v>
      </c>
      <c r="EV224" s="183">
        <v>0</v>
      </c>
      <c r="EW224" s="183">
        <v>2000</v>
      </c>
      <c r="EX224" s="130">
        <v>0</v>
      </c>
      <c r="EY224" s="183">
        <v>0</v>
      </c>
      <c r="EZ224" s="3">
        <v>7285</v>
      </c>
      <c r="FA224" s="3">
        <v>2736</v>
      </c>
      <c r="FB224" s="3">
        <v>4549</v>
      </c>
      <c r="FC224" s="3">
        <v>67</v>
      </c>
      <c r="FD224" s="226">
        <v>8736</v>
      </c>
      <c r="FE224" s="183">
        <v>2187</v>
      </c>
      <c r="FF224" s="183">
        <v>6549</v>
      </c>
      <c r="FG224" s="183">
        <v>58</v>
      </c>
      <c r="FH224" s="230">
        <v>8187</v>
      </c>
      <c r="FI224" s="130">
        <v>1738</v>
      </c>
      <c r="FJ224" s="130">
        <v>6449</v>
      </c>
      <c r="FK224" s="130">
        <v>48</v>
      </c>
      <c r="FL224" s="29">
        <v>2057.4308110702286</v>
      </c>
      <c r="FM224" s="139">
        <v>2241.6627153469258</v>
      </c>
      <c r="FN224" s="139">
        <v>2102.1403840100725</v>
      </c>
      <c r="FO224" s="172">
        <f t="shared" si="9"/>
        <v>1208.8101265822784</v>
      </c>
      <c r="FP224" s="170">
        <f t="shared" si="10"/>
        <v>190.24396074634535</v>
      </c>
      <c r="FR224" s="175"/>
      <c r="FS224" s="195"/>
      <c r="FV224" s="175">
        <v>170</v>
      </c>
      <c r="FW224" s="2">
        <f t="shared" si="11"/>
        <v>-170</v>
      </c>
      <c r="FZ224" s="186"/>
      <c r="GA224" s="2"/>
      <c r="GB224" s="2"/>
    </row>
    <row r="225" spans="1:184" ht="13" x14ac:dyDescent="0.3">
      <c r="A225" s="77">
        <v>707</v>
      </c>
      <c r="B225" s="75" t="s">
        <v>216</v>
      </c>
      <c r="C225" s="179">
        <v>2181</v>
      </c>
      <c r="D225" s="138"/>
      <c r="E225" s="142">
        <v>1.3010204081632653</v>
      </c>
      <c r="F225" s="142">
        <v>30.470491610935117</v>
      </c>
      <c r="G225" s="183">
        <v>-1336.0843649701972</v>
      </c>
      <c r="H225" s="144"/>
      <c r="I225" s="186"/>
      <c r="K225" s="210">
        <v>62.524257888305904</v>
      </c>
      <c r="L225" s="143">
        <v>631.82026593305818</v>
      </c>
      <c r="M225" s="146">
        <v>28.392322890206039</v>
      </c>
      <c r="N225" s="143">
        <v>8122.420907840441</v>
      </c>
      <c r="O225" s="138">
        <v>3278</v>
      </c>
      <c r="P225" s="143">
        <v>1817</v>
      </c>
      <c r="Q225" s="184">
        <v>16715</v>
      </c>
      <c r="R225" s="184">
        <v>-14898</v>
      </c>
      <c r="S225" s="139">
        <v>5969</v>
      </c>
      <c r="T225" s="138">
        <v>9260</v>
      </c>
      <c r="U225" s="151"/>
      <c r="W225" s="183">
        <v>46</v>
      </c>
      <c r="X225" s="183">
        <v>103</v>
      </c>
      <c r="Y225" s="184">
        <v>480</v>
      </c>
      <c r="Z225" s="130">
        <v>438</v>
      </c>
      <c r="AA225" s="130">
        <v>0</v>
      </c>
      <c r="AB225" s="130">
        <v>0</v>
      </c>
      <c r="AC225" s="184">
        <v>42</v>
      </c>
      <c r="AD225" s="184">
        <v>0</v>
      </c>
      <c r="AE225" s="184">
        <v>0</v>
      </c>
      <c r="AF225" s="183">
        <v>0</v>
      </c>
      <c r="AG225" s="183">
        <v>42</v>
      </c>
      <c r="AH225" s="183">
        <v>2108</v>
      </c>
      <c r="AI225" s="183">
        <v>477</v>
      </c>
      <c r="AJ225" s="167"/>
      <c r="AK225" s="183">
        <v>-12</v>
      </c>
      <c r="AL225" s="183">
        <v>-362</v>
      </c>
      <c r="AM225" s="180">
        <v>367</v>
      </c>
      <c r="AN225" s="139">
        <v>5969</v>
      </c>
      <c r="AO225" s="138">
        <v>4838</v>
      </c>
      <c r="AP225" s="184">
        <v>485</v>
      </c>
      <c r="AQ225" s="138">
        <v>646</v>
      </c>
      <c r="AR225" s="109">
        <v>21.5</v>
      </c>
      <c r="AS225" s="144"/>
      <c r="AT225" s="139">
        <v>154</v>
      </c>
      <c r="AU225" s="228">
        <v>2126</v>
      </c>
      <c r="AV225" s="138"/>
      <c r="AW225" s="224">
        <v>-0.25246195165622204</v>
      </c>
      <c r="AX225" s="225">
        <v>28.039157520023732</v>
      </c>
      <c r="AY225" s="139">
        <v>-1535.7478833490122</v>
      </c>
      <c r="AZ225" s="144"/>
      <c r="BA225"/>
      <c r="BC225" s="189">
        <v>63.600797790733353</v>
      </c>
      <c r="BD225" s="183">
        <v>313.73471307619945</v>
      </c>
      <c r="BE225" s="140">
        <v>13.590967453804499</v>
      </c>
      <c r="BF225" s="139">
        <v>8425.6820319849485</v>
      </c>
      <c r="BG225" s="184">
        <v>3292</v>
      </c>
      <c r="BH225" s="216">
        <v>1953</v>
      </c>
      <c r="BI225" s="216">
        <v>17151</v>
      </c>
      <c r="BJ225" s="216">
        <v>-15198</v>
      </c>
      <c r="BK225" s="216">
        <v>5800</v>
      </c>
      <c r="BL225" s="216">
        <v>9102</v>
      </c>
      <c r="BM225" s="151"/>
      <c r="BO225" s="216">
        <v>30</v>
      </c>
      <c r="BP225" s="216">
        <v>88</v>
      </c>
      <c r="BQ225" s="216">
        <v>-178</v>
      </c>
      <c r="BR225" s="216">
        <v>399</v>
      </c>
      <c r="BS225" s="216">
        <v>0</v>
      </c>
      <c r="BT225" s="216">
        <v>0</v>
      </c>
      <c r="BU225" s="216">
        <v>-577</v>
      </c>
      <c r="BV225" s="184">
        <v>0</v>
      </c>
      <c r="BW225" s="184">
        <v>0</v>
      </c>
      <c r="BX225" s="183">
        <v>0</v>
      </c>
      <c r="BY225" s="183">
        <v>-577</v>
      </c>
      <c r="BZ225" s="183">
        <v>1700</v>
      </c>
      <c r="CA225" s="183">
        <v>-197</v>
      </c>
      <c r="CB225" s="167"/>
      <c r="CC225" s="183">
        <v>108</v>
      </c>
      <c r="CD225" s="183">
        <v>-340</v>
      </c>
      <c r="CE225" s="180">
        <v>-378</v>
      </c>
      <c r="CF225" s="139">
        <v>5800</v>
      </c>
      <c r="CG225" s="216">
        <v>4631</v>
      </c>
      <c r="CH225" s="216">
        <v>514</v>
      </c>
      <c r="CI225" s="216">
        <v>655</v>
      </c>
      <c r="CJ225" s="212">
        <v>21.5</v>
      </c>
      <c r="CK225" s="144"/>
      <c r="CL225" s="130">
        <v>257</v>
      </c>
      <c r="CM225" s="228">
        <v>2066</v>
      </c>
      <c r="CN225" s="138"/>
      <c r="CO225" s="142">
        <v>-3.8393442622950822</v>
      </c>
      <c r="CP225" s="142">
        <v>39.56894631321007</v>
      </c>
      <c r="CQ225" s="183">
        <v>-2557.5992255566312</v>
      </c>
      <c r="CR225" s="144"/>
      <c r="CS225"/>
      <c r="CU225" s="232">
        <v>47.462686567164177</v>
      </c>
      <c r="CV225" s="143">
        <v>576.96030977734756</v>
      </c>
      <c r="CW225" s="146">
        <v>20.37463707033811</v>
      </c>
      <c r="CX225" s="143">
        <v>10335.91481122943</v>
      </c>
      <c r="CY225" s="131">
        <v>3139</v>
      </c>
      <c r="CZ225" s="229">
        <v>1869</v>
      </c>
      <c r="DA225" s="229">
        <v>19282</v>
      </c>
      <c r="DB225" s="216">
        <v>-17413</v>
      </c>
      <c r="DC225" s="229">
        <v>6261</v>
      </c>
      <c r="DD225" s="229">
        <v>9826</v>
      </c>
      <c r="DE225" s="151"/>
      <c r="DG225" s="229">
        <v>32</v>
      </c>
      <c r="DH225" s="229">
        <v>89</v>
      </c>
      <c r="DI225" s="229">
        <v>-1205</v>
      </c>
      <c r="DJ225" s="229">
        <v>408</v>
      </c>
      <c r="DK225" s="229">
        <v>0</v>
      </c>
      <c r="DL225" s="229">
        <v>0</v>
      </c>
      <c r="DM225" s="229">
        <v>-1613</v>
      </c>
      <c r="DN225" s="131">
        <v>0</v>
      </c>
      <c r="DO225" s="131">
        <v>0</v>
      </c>
      <c r="DP225" s="130">
        <v>0</v>
      </c>
      <c r="DQ225" s="130">
        <v>-1613</v>
      </c>
      <c r="DR225" s="130">
        <v>87</v>
      </c>
      <c r="DS225" s="130">
        <v>-974</v>
      </c>
      <c r="DT225" s="167"/>
      <c r="DU225" s="183">
        <v>165</v>
      </c>
      <c r="DV225" s="183">
        <v>-271</v>
      </c>
      <c r="DW225" s="180">
        <v>-1018</v>
      </c>
      <c r="DX225" s="130">
        <v>6261</v>
      </c>
      <c r="DY225" s="229">
        <v>5105</v>
      </c>
      <c r="DZ225" s="229">
        <v>564</v>
      </c>
      <c r="EA225" s="229">
        <v>592</v>
      </c>
      <c r="EB225" s="212">
        <v>21.5</v>
      </c>
      <c r="EC225" s="208"/>
      <c r="ED225" s="183">
        <v>294.779411764705</v>
      </c>
      <c r="EE225" s="3">
        <v>12132</v>
      </c>
      <c r="EF225" s="183">
        <v>12435</v>
      </c>
      <c r="EG225" s="130">
        <v>12873</v>
      </c>
      <c r="EH225" s="130"/>
      <c r="EI225" s="130"/>
      <c r="EJ225" s="130"/>
      <c r="EK225" s="183">
        <v>-126</v>
      </c>
      <c r="EL225" s="183">
        <v>0</v>
      </c>
      <c r="EM225" s="183">
        <v>16</v>
      </c>
      <c r="EN225" s="226">
        <v>-206</v>
      </c>
      <c r="EO225" s="226">
        <v>0</v>
      </c>
      <c r="EP225" s="226">
        <v>25</v>
      </c>
      <c r="EQ225" s="226">
        <v>-85</v>
      </c>
      <c r="ER225" s="230">
        <v>0</v>
      </c>
      <c r="ES225" s="230">
        <v>41</v>
      </c>
      <c r="ET225" s="3">
        <v>315</v>
      </c>
      <c r="EU225" s="211">
        <v>0</v>
      </c>
      <c r="EV225" s="183">
        <v>0</v>
      </c>
      <c r="EW225" s="183">
        <v>0</v>
      </c>
      <c r="EX225" s="130">
        <v>2700</v>
      </c>
      <c r="EY225" s="183">
        <v>0</v>
      </c>
      <c r="EZ225" s="3">
        <v>4125</v>
      </c>
      <c r="FA225" s="3">
        <v>3470</v>
      </c>
      <c r="FB225" s="3">
        <v>655</v>
      </c>
      <c r="FC225" s="3">
        <v>4227</v>
      </c>
      <c r="FD225" s="226">
        <v>3785</v>
      </c>
      <c r="FE225" s="183">
        <v>3199</v>
      </c>
      <c r="FF225" s="183">
        <v>586</v>
      </c>
      <c r="FG225" s="183">
        <v>4369</v>
      </c>
      <c r="FH225" s="230">
        <v>6214</v>
      </c>
      <c r="FI225" s="130">
        <v>5538</v>
      </c>
      <c r="FJ225" s="130">
        <v>676</v>
      </c>
      <c r="FK225" s="130">
        <v>5371</v>
      </c>
      <c r="FL225" s="29">
        <v>3564.8784961027054</v>
      </c>
      <c r="FM225" s="139">
        <v>3611.4769520225777</v>
      </c>
      <c r="FN225" s="139">
        <v>5218.7802516940947</v>
      </c>
      <c r="FO225" s="172">
        <f t="shared" si="9"/>
        <v>237.44186046511629</v>
      </c>
      <c r="FP225" s="170">
        <f t="shared" si="10"/>
        <v>114.92829644971746</v>
      </c>
      <c r="FR225" s="175"/>
      <c r="FS225" s="195"/>
      <c r="FV225" s="175">
        <v>710</v>
      </c>
      <c r="FW225" s="2">
        <f t="shared" si="11"/>
        <v>-710</v>
      </c>
      <c r="FZ225" s="186"/>
      <c r="GA225" s="2"/>
      <c r="GB225" s="2"/>
    </row>
    <row r="226" spans="1:184" ht="13" x14ac:dyDescent="0.3">
      <c r="A226" s="77">
        <v>729</v>
      </c>
      <c r="B226" s="75" t="s">
        <v>217</v>
      </c>
      <c r="C226" s="179">
        <v>9415</v>
      </c>
      <c r="D226" s="138"/>
      <c r="E226" s="142">
        <v>0.91194129419613079</v>
      </c>
      <c r="F226" s="142">
        <v>29.724249218158711</v>
      </c>
      <c r="G226" s="183">
        <v>-1839.2989909718533</v>
      </c>
      <c r="H226" s="144"/>
      <c r="I226" s="186"/>
      <c r="K226" s="210">
        <v>61.5460328454514</v>
      </c>
      <c r="L226" s="143">
        <v>21.879978757302176</v>
      </c>
      <c r="M226" s="146">
        <v>1.0365887283555753</v>
      </c>
      <c r="N226" s="143">
        <v>7704.3016463090808</v>
      </c>
      <c r="O226" s="138">
        <v>17614</v>
      </c>
      <c r="P226" s="143">
        <v>10875</v>
      </c>
      <c r="Q226" s="184">
        <v>67354</v>
      </c>
      <c r="R226" s="184">
        <v>-56479</v>
      </c>
      <c r="S226" s="139">
        <v>29143</v>
      </c>
      <c r="T226" s="138">
        <v>30009</v>
      </c>
      <c r="U226" s="151"/>
      <c r="W226" s="183">
        <v>-99</v>
      </c>
      <c r="X226" s="183">
        <v>31</v>
      </c>
      <c r="Y226" s="184">
        <v>2605</v>
      </c>
      <c r="Z226" s="130">
        <v>3395</v>
      </c>
      <c r="AA226" s="130">
        <v>0</v>
      </c>
      <c r="AB226" s="130">
        <v>0</v>
      </c>
      <c r="AC226" s="184">
        <v>-790</v>
      </c>
      <c r="AD226" s="184">
        <v>0</v>
      </c>
      <c r="AE226" s="184">
        <v>0</v>
      </c>
      <c r="AF226" s="183">
        <v>0</v>
      </c>
      <c r="AG226" s="183">
        <v>-790</v>
      </c>
      <c r="AH226" s="183">
        <v>3731</v>
      </c>
      <c r="AI226" s="183">
        <v>2160</v>
      </c>
      <c r="AJ226" s="167"/>
      <c r="AK226" s="183">
        <v>14</v>
      </c>
      <c r="AL226" s="183">
        <v>-2869</v>
      </c>
      <c r="AM226" s="180">
        <v>599</v>
      </c>
      <c r="AN226" s="139">
        <v>29143</v>
      </c>
      <c r="AO226" s="138">
        <v>24661</v>
      </c>
      <c r="AP226" s="184">
        <v>2164</v>
      </c>
      <c r="AQ226" s="138">
        <v>2318</v>
      </c>
      <c r="AR226" s="109">
        <v>21.5</v>
      </c>
      <c r="AS226" s="144"/>
      <c r="AT226" s="139">
        <v>121</v>
      </c>
      <c r="AU226" s="228">
        <v>9309</v>
      </c>
      <c r="AV226" s="138"/>
      <c r="AW226" s="224">
        <v>0.55750158261236549</v>
      </c>
      <c r="AX226" s="225">
        <v>29.559977069030609</v>
      </c>
      <c r="AY226" s="139">
        <v>-1934.2571704801805</v>
      </c>
      <c r="AZ226" s="144"/>
      <c r="BA226"/>
      <c r="BC226" s="189">
        <v>59.459050501229427</v>
      </c>
      <c r="BD226" s="183">
        <v>5.4785691266516272</v>
      </c>
      <c r="BE226" s="140">
        <v>0.24907675016056519</v>
      </c>
      <c r="BF226" s="139">
        <v>8028.359651949726</v>
      </c>
      <c r="BG226" s="184">
        <v>18069</v>
      </c>
      <c r="BH226" s="216">
        <v>11177</v>
      </c>
      <c r="BI226" s="216">
        <v>70244</v>
      </c>
      <c r="BJ226" s="216">
        <v>-59067</v>
      </c>
      <c r="BK226" s="216">
        <v>29728</v>
      </c>
      <c r="BL226" s="216">
        <v>30614</v>
      </c>
      <c r="BM226" s="151"/>
      <c r="BO226" s="216">
        <v>-64</v>
      </c>
      <c r="BP226" s="216">
        <v>18</v>
      </c>
      <c r="BQ226" s="216">
        <v>1229</v>
      </c>
      <c r="BR226" s="216">
        <v>3558</v>
      </c>
      <c r="BS226" s="216">
        <v>0</v>
      </c>
      <c r="BT226" s="216">
        <v>0</v>
      </c>
      <c r="BU226" s="216">
        <v>-2329</v>
      </c>
      <c r="BV226" s="184">
        <v>0</v>
      </c>
      <c r="BW226" s="184">
        <v>0</v>
      </c>
      <c r="BX226" s="183">
        <v>0</v>
      </c>
      <c r="BY226" s="183">
        <v>-2329</v>
      </c>
      <c r="BZ226" s="183">
        <v>1401</v>
      </c>
      <c r="CA226" s="183">
        <v>751</v>
      </c>
      <c r="CB226" s="167"/>
      <c r="CC226" s="183">
        <v>209</v>
      </c>
      <c r="CD226" s="183">
        <v>-2348</v>
      </c>
      <c r="CE226" s="180">
        <v>-424</v>
      </c>
      <c r="CF226" s="139">
        <v>29728</v>
      </c>
      <c r="CG226" s="216">
        <v>25133</v>
      </c>
      <c r="CH226" s="216">
        <v>2256</v>
      </c>
      <c r="CI226" s="216">
        <v>2339</v>
      </c>
      <c r="CJ226" s="212">
        <v>21.5</v>
      </c>
      <c r="CK226" s="144"/>
      <c r="CL226" s="130">
        <v>164</v>
      </c>
      <c r="CM226" s="228">
        <v>9208</v>
      </c>
      <c r="CN226" s="138"/>
      <c r="CO226" s="142">
        <v>3.2903587443946187</v>
      </c>
      <c r="CP226" s="142">
        <v>25.033853084317641</v>
      </c>
      <c r="CQ226" s="183">
        <v>-1453.5186794092094</v>
      </c>
      <c r="CR226" s="144"/>
      <c r="CS226"/>
      <c r="CU226" s="232">
        <v>64.19802130034239</v>
      </c>
      <c r="CV226" s="143">
        <v>177.88879235447436</v>
      </c>
      <c r="CW226" s="146">
        <v>8.3176126878130212</v>
      </c>
      <c r="CX226" s="143">
        <v>7806.2554300608163</v>
      </c>
      <c r="CY226" s="131">
        <v>16983</v>
      </c>
      <c r="CZ226" s="229">
        <v>9819</v>
      </c>
      <c r="DA226" s="229">
        <v>68684</v>
      </c>
      <c r="DB226" s="216">
        <v>-58865</v>
      </c>
      <c r="DC226" s="229">
        <v>30081</v>
      </c>
      <c r="DD226" s="229">
        <v>34687</v>
      </c>
      <c r="DE226" s="151"/>
      <c r="DG226" s="229">
        <v>-54</v>
      </c>
      <c r="DH226" s="229">
        <v>-51</v>
      </c>
      <c r="DI226" s="229">
        <v>5798</v>
      </c>
      <c r="DJ226" s="229">
        <v>3297</v>
      </c>
      <c r="DK226" s="229">
        <v>0</v>
      </c>
      <c r="DL226" s="229">
        <v>0</v>
      </c>
      <c r="DM226" s="229">
        <v>2501</v>
      </c>
      <c r="DN226" s="131">
        <v>0</v>
      </c>
      <c r="DO226" s="131">
        <v>0</v>
      </c>
      <c r="DP226" s="130">
        <v>0</v>
      </c>
      <c r="DQ226" s="130">
        <v>2501</v>
      </c>
      <c r="DR226" s="130">
        <v>3902</v>
      </c>
      <c r="DS226" s="130">
        <v>5774</v>
      </c>
      <c r="DT226" s="167"/>
      <c r="DU226" s="183">
        <v>-566</v>
      </c>
      <c r="DV226" s="183">
        <v>-1712</v>
      </c>
      <c r="DW226" s="180">
        <v>4709</v>
      </c>
      <c r="DX226" s="130">
        <v>30081</v>
      </c>
      <c r="DY226" s="229">
        <v>25425</v>
      </c>
      <c r="DZ226" s="229">
        <v>2459</v>
      </c>
      <c r="EA226" s="229">
        <v>2197</v>
      </c>
      <c r="EB226" s="212">
        <v>21.5</v>
      </c>
      <c r="EC226" s="208"/>
      <c r="ED226" s="183">
        <v>166.845588235294</v>
      </c>
      <c r="EE226" s="3">
        <v>44120</v>
      </c>
      <c r="EF226" s="183">
        <v>45590</v>
      </c>
      <c r="EG226" s="130">
        <v>45222</v>
      </c>
      <c r="EH226" s="130"/>
      <c r="EI226" s="130"/>
      <c r="EJ226" s="130"/>
      <c r="EK226" s="183">
        <v>-2109</v>
      </c>
      <c r="EL226" s="183">
        <v>90</v>
      </c>
      <c r="EM226" s="183">
        <v>458</v>
      </c>
      <c r="EN226" s="226">
        <v>-1975</v>
      </c>
      <c r="EO226" s="226">
        <v>48</v>
      </c>
      <c r="EP226" s="226">
        <v>752</v>
      </c>
      <c r="EQ226" s="226">
        <v>-1270</v>
      </c>
      <c r="ER226" s="230">
        <v>39</v>
      </c>
      <c r="ES226" s="230">
        <v>166</v>
      </c>
      <c r="ET226" s="3">
        <v>0</v>
      </c>
      <c r="EU226" s="211">
        <v>400</v>
      </c>
      <c r="EV226" s="183">
        <v>0</v>
      </c>
      <c r="EW226" s="183">
        <v>2000</v>
      </c>
      <c r="EX226" s="130">
        <v>0</v>
      </c>
      <c r="EY226" s="183">
        <v>0</v>
      </c>
      <c r="EZ226" s="3">
        <v>14396</v>
      </c>
      <c r="FA226" s="3">
        <v>9040</v>
      </c>
      <c r="FB226" s="3">
        <v>5356</v>
      </c>
      <c r="FC226" s="3">
        <v>3865</v>
      </c>
      <c r="FD226" s="226">
        <v>14048</v>
      </c>
      <c r="FE226" s="183">
        <v>7327</v>
      </c>
      <c r="FF226" s="183">
        <v>6721</v>
      </c>
      <c r="FG226" s="183">
        <v>3928</v>
      </c>
      <c r="FH226" s="230">
        <v>12336</v>
      </c>
      <c r="FI226" s="130">
        <v>5662</v>
      </c>
      <c r="FJ226" s="130">
        <v>6674</v>
      </c>
      <c r="FK226" s="130">
        <v>3971</v>
      </c>
      <c r="FL226" s="29">
        <v>4748.8050982474779</v>
      </c>
      <c r="FM226" s="139">
        <v>5262.2193576109139</v>
      </c>
      <c r="FN226" s="139">
        <v>5494.4613379669854</v>
      </c>
      <c r="FO226" s="172">
        <f t="shared" si="9"/>
        <v>1182.5581395348838</v>
      </c>
      <c r="FP226" s="170">
        <f t="shared" si="10"/>
        <v>128.42725233871457</v>
      </c>
      <c r="FR226" s="175"/>
      <c r="FS226" s="195"/>
      <c r="FV226" s="175">
        <v>2759</v>
      </c>
      <c r="FW226" s="2">
        <f t="shared" si="11"/>
        <v>-2759</v>
      </c>
      <c r="FZ226" s="186"/>
      <c r="GA226" s="2"/>
      <c r="GB226" s="2"/>
    </row>
    <row r="227" spans="1:184" ht="13" x14ac:dyDescent="0.3">
      <c r="A227" s="77">
        <v>732</v>
      </c>
      <c r="B227" s="75" t="s">
        <v>218</v>
      </c>
      <c r="C227" s="179">
        <v>3491</v>
      </c>
      <c r="D227" s="138"/>
      <c r="E227" s="142">
        <v>1.4823295171727227</v>
      </c>
      <c r="F227" s="142">
        <v>48.1624708684406</v>
      </c>
      <c r="G227" s="183">
        <v>-4244.6290461185908</v>
      </c>
      <c r="H227" s="144"/>
      <c r="I227" s="186"/>
      <c r="K227" s="210">
        <v>44.642961235791311</v>
      </c>
      <c r="L227" s="143">
        <v>686.33629332569467</v>
      </c>
      <c r="M227" s="146">
        <v>21.45478632059271</v>
      </c>
      <c r="N227" s="143">
        <v>11676.310512747063</v>
      </c>
      <c r="O227" s="138">
        <v>17982</v>
      </c>
      <c r="P227" s="143">
        <v>7735</v>
      </c>
      <c r="Q227" s="184">
        <v>36114</v>
      </c>
      <c r="R227" s="184">
        <v>-28379</v>
      </c>
      <c r="S227" s="139">
        <v>11011</v>
      </c>
      <c r="T227" s="138">
        <v>20301</v>
      </c>
      <c r="U227" s="151"/>
      <c r="W227" s="183">
        <v>-138</v>
      </c>
      <c r="X227" s="183">
        <v>20</v>
      </c>
      <c r="Y227" s="184">
        <v>2815</v>
      </c>
      <c r="Z227" s="130">
        <v>1057</v>
      </c>
      <c r="AA227" s="130">
        <v>0</v>
      </c>
      <c r="AB227" s="130">
        <v>0</v>
      </c>
      <c r="AC227" s="184">
        <v>1758</v>
      </c>
      <c r="AD227" s="183">
        <v>0</v>
      </c>
      <c r="AE227" s="183">
        <v>0</v>
      </c>
      <c r="AF227" s="183">
        <v>0</v>
      </c>
      <c r="AG227" s="183">
        <v>1758</v>
      </c>
      <c r="AH227" s="183">
        <v>8025</v>
      </c>
      <c r="AI227" s="183">
        <v>1537</v>
      </c>
      <c r="AJ227" s="167"/>
      <c r="AK227" s="183">
        <v>-12</v>
      </c>
      <c r="AL227" s="183">
        <v>-1846</v>
      </c>
      <c r="AM227" s="180">
        <v>866</v>
      </c>
      <c r="AN227" s="139">
        <v>11011</v>
      </c>
      <c r="AO227" s="138">
        <v>8616</v>
      </c>
      <c r="AP227" s="184">
        <v>1095</v>
      </c>
      <c r="AQ227" s="138">
        <v>1300</v>
      </c>
      <c r="AR227" s="109">
        <v>20.5</v>
      </c>
      <c r="AS227" s="144"/>
      <c r="AT227" s="139">
        <v>7</v>
      </c>
      <c r="AU227" s="228">
        <v>3400</v>
      </c>
      <c r="AV227" s="138"/>
      <c r="AW227" s="224">
        <v>0.96398375607482856</v>
      </c>
      <c r="AX227" s="225">
        <v>42.901925660546347</v>
      </c>
      <c r="AY227" s="139">
        <v>-3881.7647058823532</v>
      </c>
      <c r="AZ227" s="144"/>
      <c r="BA227"/>
      <c r="BC227" s="189">
        <v>48.882889592254699</v>
      </c>
      <c r="BD227" s="183">
        <v>415.88235294117646</v>
      </c>
      <c r="BE227" s="140">
        <v>11.859145220588236</v>
      </c>
      <c r="BF227" s="139">
        <v>12800</v>
      </c>
      <c r="BG227" s="184">
        <v>15602</v>
      </c>
      <c r="BH227" s="216">
        <v>6608</v>
      </c>
      <c r="BI227" s="216">
        <v>36323</v>
      </c>
      <c r="BJ227" s="216">
        <v>-29715</v>
      </c>
      <c r="BK227" s="216">
        <v>11089</v>
      </c>
      <c r="BL227" s="216">
        <v>20264</v>
      </c>
      <c r="BM227" s="151"/>
      <c r="BO227" s="216">
        <v>-109</v>
      </c>
      <c r="BP227" s="216">
        <v>147</v>
      </c>
      <c r="BQ227" s="216">
        <v>1676</v>
      </c>
      <c r="BR227" s="216">
        <v>1240</v>
      </c>
      <c r="BS227" s="216">
        <v>0</v>
      </c>
      <c r="BT227" s="216">
        <v>0</v>
      </c>
      <c r="BU227" s="216">
        <v>436</v>
      </c>
      <c r="BV227" s="183">
        <v>0</v>
      </c>
      <c r="BW227" s="183">
        <v>0</v>
      </c>
      <c r="BX227" s="183">
        <v>0</v>
      </c>
      <c r="BY227" s="183">
        <v>436</v>
      </c>
      <c r="BZ227" s="183">
        <v>8461</v>
      </c>
      <c r="CA227" s="183">
        <v>1189</v>
      </c>
      <c r="CB227" s="167"/>
      <c r="CC227" s="183">
        <v>-81</v>
      </c>
      <c r="CD227" s="183">
        <v>-3761</v>
      </c>
      <c r="CE227" s="180">
        <v>2900</v>
      </c>
      <c r="CF227" s="139">
        <v>11089</v>
      </c>
      <c r="CG227" s="216">
        <v>8745</v>
      </c>
      <c r="CH227" s="216">
        <v>1074</v>
      </c>
      <c r="CI227" s="216">
        <v>1270</v>
      </c>
      <c r="CJ227" s="212">
        <v>20.5</v>
      </c>
      <c r="CK227" s="144"/>
      <c r="CL227" s="130">
        <v>37</v>
      </c>
      <c r="CM227" s="228">
        <v>3407</v>
      </c>
      <c r="CN227" s="138"/>
      <c r="CO227" s="142">
        <v>1.2894069944247339</v>
      </c>
      <c r="CP227" s="142">
        <v>42.384914878998394</v>
      </c>
      <c r="CQ227" s="183">
        <v>-3740.8277076606987</v>
      </c>
      <c r="CR227" s="144"/>
      <c r="CS227"/>
      <c r="CU227" s="232">
        <v>49.54766041579294</v>
      </c>
      <c r="CV227" s="143">
        <v>699.1488112709128</v>
      </c>
      <c r="CW227" s="146">
        <v>21.360341989533939</v>
      </c>
      <c r="CX227" s="143">
        <v>11946.874082770766</v>
      </c>
      <c r="CY227" s="131">
        <v>14623</v>
      </c>
      <c r="CZ227" s="229">
        <v>6171</v>
      </c>
      <c r="DA227" s="229">
        <v>36675</v>
      </c>
      <c r="DB227" s="216">
        <v>-30504</v>
      </c>
      <c r="DC227" s="229">
        <v>11470</v>
      </c>
      <c r="DD227" s="229">
        <v>21656</v>
      </c>
      <c r="DE227" s="151"/>
      <c r="DG227" s="229">
        <v>-82</v>
      </c>
      <c r="DH227" s="229">
        <v>-104</v>
      </c>
      <c r="DI227" s="229">
        <v>2436</v>
      </c>
      <c r="DJ227" s="229">
        <v>1650</v>
      </c>
      <c r="DK227" s="229">
        <v>0</v>
      </c>
      <c r="DL227" s="229">
        <v>0</v>
      </c>
      <c r="DM227" s="229">
        <v>786</v>
      </c>
      <c r="DN227" s="130">
        <v>0</v>
      </c>
      <c r="DO227" s="130">
        <v>0</v>
      </c>
      <c r="DP227" s="130">
        <v>0</v>
      </c>
      <c r="DQ227" s="130">
        <v>786</v>
      </c>
      <c r="DR227" s="130">
        <v>9248</v>
      </c>
      <c r="DS227" s="130">
        <v>2425</v>
      </c>
      <c r="DT227" s="167"/>
      <c r="DU227" s="183">
        <v>144</v>
      </c>
      <c r="DV227" s="183">
        <v>-1865</v>
      </c>
      <c r="DW227" s="180">
        <v>657</v>
      </c>
      <c r="DX227" s="130">
        <v>11470</v>
      </c>
      <c r="DY227" s="229">
        <v>9068</v>
      </c>
      <c r="DZ227" s="229">
        <v>1200</v>
      </c>
      <c r="EA227" s="229">
        <v>1202</v>
      </c>
      <c r="EB227" s="212">
        <v>20.25</v>
      </c>
      <c r="EC227" s="208"/>
      <c r="ED227" s="183">
        <v>127.558823529411</v>
      </c>
      <c r="EE227" s="3">
        <v>13509</v>
      </c>
      <c r="EF227" s="183">
        <v>14162</v>
      </c>
      <c r="EG227" s="130">
        <v>14729</v>
      </c>
      <c r="EH227" s="130"/>
      <c r="EI227" s="130"/>
      <c r="EJ227" s="130"/>
      <c r="EK227" s="183">
        <v>-2629</v>
      </c>
      <c r="EL227" s="183">
        <v>52</v>
      </c>
      <c r="EM227" s="183">
        <v>1906</v>
      </c>
      <c r="EN227" s="226">
        <v>-2349</v>
      </c>
      <c r="EO227" s="226">
        <v>51</v>
      </c>
      <c r="EP227" s="226">
        <v>4009</v>
      </c>
      <c r="EQ227" s="226">
        <v>-1840</v>
      </c>
      <c r="ER227" s="230">
        <v>60</v>
      </c>
      <c r="ES227" s="230">
        <v>12</v>
      </c>
      <c r="ET227" s="3">
        <v>1700</v>
      </c>
      <c r="EU227" s="211">
        <v>15</v>
      </c>
      <c r="EV227" s="183">
        <v>1500</v>
      </c>
      <c r="EW227" s="183">
        <v>985</v>
      </c>
      <c r="EX227" s="130">
        <v>3600</v>
      </c>
      <c r="EY227" s="183">
        <v>-1000</v>
      </c>
      <c r="EZ227" s="3">
        <v>13073</v>
      </c>
      <c r="FA227" s="3">
        <v>8247</v>
      </c>
      <c r="FB227" s="3">
        <v>4826</v>
      </c>
      <c r="FC227" s="3">
        <v>3399</v>
      </c>
      <c r="FD227" s="226">
        <v>11798</v>
      </c>
      <c r="FE227" s="183">
        <v>7988</v>
      </c>
      <c r="FF227" s="183">
        <v>3810</v>
      </c>
      <c r="FG227" s="183">
        <v>4323</v>
      </c>
      <c r="FH227" s="230">
        <v>12532</v>
      </c>
      <c r="FI227" s="130">
        <v>9635</v>
      </c>
      <c r="FJ227" s="130">
        <v>2897</v>
      </c>
      <c r="FK227" s="130">
        <v>4383</v>
      </c>
      <c r="FL227" s="29">
        <v>5542.2515038670872</v>
      </c>
      <c r="FM227" s="139">
        <v>5547.3529411764703</v>
      </c>
      <c r="FN227" s="139">
        <v>6083.6513061344294</v>
      </c>
      <c r="FO227" s="172">
        <f t="shared" si="9"/>
        <v>447.80246913580248</v>
      </c>
      <c r="FP227" s="170">
        <f t="shared" si="10"/>
        <v>131.43600502958688</v>
      </c>
      <c r="FR227" s="175"/>
      <c r="FS227" s="195"/>
      <c r="FV227" s="175">
        <v>1379</v>
      </c>
      <c r="FW227" s="2">
        <f t="shared" si="11"/>
        <v>-1379</v>
      </c>
      <c r="FZ227" s="186"/>
      <c r="GA227" s="2"/>
      <c r="GB227" s="2"/>
    </row>
    <row r="228" spans="1:184" ht="13" x14ac:dyDescent="0.3">
      <c r="A228" s="77">
        <v>734</v>
      </c>
      <c r="B228" s="75" t="s">
        <v>219</v>
      </c>
      <c r="C228" s="179">
        <v>52321</v>
      </c>
      <c r="D228" s="138"/>
      <c r="E228" s="142">
        <v>0.23497636731937879</v>
      </c>
      <c r="F228" s="142">
        <v>44.129553469093423</v>
      </c>
      <c r="G228" s="183">
        <v>-2261.3864413906463</v>
      </c>
      <c r="H228" s="144"/>
      <c r="I228" s="186"/>
      <c r="K228" s="210">
        <v>62.143339356273458</v>
      </c>
      <c r="L228" s="143">
        <v>366.31562852391966</v>
      </c>
      <c r="M228" s="146">
        <v>18.71444354974626</v>
      </c>
      <c r="N228" s="143">
        <v>7144.4926511343438</v>
      </c>
      <c r="O228" s="138">
        <v>156677</v>
      </c>
      <c r="P228" s="143">
        <v>53532</v>
      </c>
      <c r="Q228" s="184">
        <v>338654</v>
      </c>
      <c r="R228" s="184">
        <v>-285122</v>
      </c>
      <c r="S228" s="139">
        <v>181080</v>
      </c>
      <c r="T228" s="138">
        <v>106529</v>
      </c>
      <c r="U228" s="151"/>
      <c r="W228" s="183">
        <v>-1047</v>
      </c>
      <c r="X228" s="183">
        <v>573</v>
      </c>
      <c r="Y228" s="184">
        <v>2013</v>
      </c>
      <c r="Z228" s="130">
        <v>17388</v>
      </c>
      <c r="AA228" s="130">
        <v>0</v>
      </c>
      <c r="AB228" s="130">
        <v>0</v>
      </c>
      <c r="AC228" s="184">
        <v>-15375</v>
      </c>
      <c r="AD228" s="183">
        <v>534</v>
      </c>
      <c r="AE228" s="183">
        <v>0</v>
      </c>
      <c r="AF228" s="184">
        <v>0</v>
      </c>
      <c r="AG228" s="183">
        <v>-14841</v>
      </c>
      <c r="AH228" s="183">
        <v>14127</v>
      </c>
      <c r="AI228" s="183">
        <v>-507</v>
      </c>
      <c r="AJ228" s="167"/>
      <c r="AK228" s="183">
        <v>218</v>
      </c>
      <c r="AL228" s="183">
        <v>-13343</v>
      </c>
      <c r="AM228" s="180">
        <v>-12907</v>
      </c>
      <c r="AN228" s="139">
        <v>181080</v>
      </c>
      <c r="AO228" s="138">
        <v>155081</v>
      </c>
      <c r="AP228" s="184">
        <v>11571</v>
      </c>
      <c r="AQ228" s="138">
        <v>14428</v>
      </c>
      <c r="AR228" s="109">
        <v>20.75</v>
      </c>
      <c r="AS228" s="144"/>
      <c r="AT228" s="139">
        <v>237</v>
      </c>
      <c r="AU228" s="228">
        <v>51833</v>
      </c>
      <c r="AV228" s="138"/>
      <c r="AW228" s="224">
        <v>-9.5590750241653658E-2</v>
      </c>
      <c r="AX228" s="225">
        <v>44.53732143519192</v>
      </c>
      <c r="AY228" s="139">
        <v>-2580.9619354465303</v>
      </c>
      <c r="AZ228" s="144"/>
      <c r="BA228"/>
      <c r="BC228" s="189">
        <v>59.520582863027698</v>
      </c>
      <c r="BD228" s="183">
        <v>223.37121139042696</v>
      </c>
      <c r="BE228" s="140">
        <v>10.972071129435529</v>
      </c>
      <c r="BF228" s="139">
        <v>7430.7294580672542</v>
      </c>
      <c r="BG228" s="184">
        <v>162159</v>
      </c>
      <c r="BH228" s="216">
        <v>52181</v>
      </c>
      <c r="BI228" s="216">
        <v>353094</v>
      </c>
      <c r="BJ228" s="216">
        <v>-300913</v>
      </c>
      <c r="BK228" s="216">
        <v>188423</v>
      </c>
      <c r="BL228" s="216">
        <v>110039</v>
      </c>
      <c r="BM228" s="151"/>
      <c r="BO228" s="216">
        <v>-728</v>
      </c>
      <c r="BP228" s="216">
        <v>298</v>
      </c>
      <c r="BQ228" s="216">
        <v>-2881</v>
      </c>
      <c r="BR228" s="216">
        <v>16164</v>
      </c>
      <c r="BS228" s="216">
        <v>1233</v>
      </c>
      <c r="BT228" s="216">
        <v>227</v>
      </c>
      <c r="BU228" s="216">
        <v>-18039</v>
      </c>
      <c r="BV228" s="183">
        <v>534</v>
      </c>
      <c r="BW228" s="183">
        <v>0</v>
      </c>
      <c r="BX228" s="184">
        <v>0</v>
      </c>
      <c r="BY228" s="183">
        <v>-17505</v>
      </c>
      <c r="BZ228" s="183">
        <v>-3379</v>
      </c>
      <c r="CA228" s="183">
        <v>-2034</v>
      </c>
      <c r="CB228" s="167"/>
      <c r="CC228" s="183">
        <v>2249</v>
      </c>
      <c r="CD228" s="183">
        <v>-16153</v>
      </c>
      <c r="CE228" s="180">
        <v>-13748</v>
      </c>
      <c r="CF228" s="139">
        <v>188423</v>
      </c>
      <c r="CG228" s="216">
        <v>162630</v>
      </c>
      <c r="CH228" s="216">
        <v>11124</v>
      </c>
      <c r="CI228" s="216">
        <v>14669</v>
      </c>
      <c r="CJ228" s="212">
        <v>20.75</v>
      </c>
      <c r="CK228" s="144"/>
      <c r="CL228" s="130">
        <v>247</v>
      </c>
      <c r="CM228" s="228">
        <v>51562</v>
      </c>
      <c r="CN228" s="138"/>
      <c r="CO228" s="142">
        <v>2.2557590499356133</v>
      </c>
      <c r="CP228" s="142">
        <v>40.621763574493265</v>
      </c>
      <c r="CQ228" s="183">
        <v>-2307.6296497420581</v>
      </c>
      <c r="CR228" s="144"/>
      <c r="CS228"/>
      <c r="CU228" s="232">
        <v>61.317278867563097</v>
      </c>
      <c r="CV228" s="143">
        <v>466.23482409526395</v>
      </c>
      <c r="CW228" s="146">
        <v>23.113070872778806</v>
      </c>
      <c r="CX228" s="143">
        <v>7362.7477599782787</v>
      </c>
      <c r="CY228" s="131">
        <v>158217</v>
      </c>
      <c r="CZ228" s="229">
        <v>51799</v>
      </c>
      <c r="DA228" s="229">
        <v>347888</v>
      </c>
      <c r="DB228" s="216">
        <v>-296089</v>
      </c>
      <c r="DC228" s="229">
        <v>194666</v>
      </c>
      <c r="DD228" s="229">
        <v>132039</v>
      </c>
      <c r="DE228" s="151"/>
      <c r="DG228" s="229">
        <v>-594</v>
      </c>
      <c r="DH228" s="229">
        <v>385</v>
      </c>
      <c r="DI228" s="229">
        <v>30407</v>
      </c>
      <c r="DJ228" s="229">
        <v>16270</v>
      </c>
      <c r="DK228" s="229">
        <v>0</v>
      </c>
      <c r="DL228" s="229">
        <v>0</v>
      </c>
      <c r="DM228" s="229">
        <v>14137</v>
      </c>
      <c r="DN228" s="130">
        <v>534</v>
      </c>
      <c r="DO228" s="130">
        <v>0</v>
      </c>
      <c r="DP228" s="131">
        <v>0</v>
      </c>
      <c r="DQ228" s="130">
        <v>14671</v>
      </c>
      <c r="DR228" s="130">
        <v>11292</v>
      </c>
      <c r="DS228" s="130">
        <v>29631</v>
      </c>
      <c r="DT228" s="167"/>
      <c r="DU228" s="183">
        <v>82</v>
      </c>
      <c r="DV228" s="183">
        <v>-12854</v>
      </c>
      <c r="DW228" s="180">
        <v>16157</v>
      </c>
      <c r="DX228" s="130">
        <v>194666</v>
      </c>
      <c r="DY228" s="229">
        <v>169465</v>
      </c>
      <c r="DZ228" s="229">
        <v>11710</v>
      </c>
      <c r="EA228" s="229">
        <v>13491</v>
      </c>
      <c r="EB228" s="212">
        <v>20.75</v>
      </c>
      <c r="EC228" s="208"/>
      <c r="ED228" s="183">
        <v>189.00735294117601</v>
      </c>
      <c r="EE228" s="3">
        <v>140348</v>
      </c>
      <c r="EF228" s="183">
        <v>149000</v>
      </c>
      <c r="EG228" s="130">
        <v>147278</v>
      </c>
      <c r="EH228" s="130"/>
      <c r="EI228" s="130"/>
      <c r="EJ228" s="130">
        <v>1200</v>
      </c>
      <c r="EK228" s="183">
        <v>-16179</v>
      </c>
      <c r="EL228" s="183">
        <v>310</v>
      </c>
      <c r="EM228" s="183">
        <v>3469</v>
      </c>
      <c r="EN228" s="226">
        <v>-12510</v>
      </c>
      <c r="EO228" s="226">
        <v>313</v>
      </c>
      <c r="EP228" s="226">
        <v>483</v>
      </c>
      <c r="EQ228" s="226">
        <v>-15270</v>
      </c>
      <c r="ER228" s="230">
        <v>135</v>
      </c>
      <c r="ES228" s="230">
        <v>1661</v>
      </c>
      <c r="ET228" s="3">
        <v>4000</v>
      </c>
      <c r="EU228" s="211">
        <v>20000</v>
      </c>
      <c r="EV228" s="183">
        <v>20000</v>
      </c>
      <c r="EW228" s="183">
        <v>10000</v>
      </c>
      <c r="EX228" s="130">
        <v>0</v>
      </c>
      <c r="EY228" s="183">
        <v>10000</v>
      </c>
      <c r="EZ228" s="3">
        <v>98185</v>
      </c>
      <c r="FA228" s="3">
        <v>65822</v>
      </c>
      <c r="FB228" s="3">
        <v>32363</v>
      </c>
      <c r="FC228" s="3">
        <v>15233</v>
      </c>
      <c r="FD228" s="226">
        <v>112032</v>
      </c>
      <c r="FE228" s="183">
        <v>69378</v>
      </c>
      <c r="FF228" s="183">
        <v>42654</v>
      </c>
      <c r="FG228" s="183">
        <v>16980</v>
      </c>
      <c r="FH228" s="230">
        <v>109178</v>
      </c>
      <c r="FI228" s="130">
        <v>56203</v>
      </c>
      <c r="FJ228" s="130">
        <v>52975</v>
      </c>
      <c r="FK228" s="130">
        <v>19077</v>
      </c>
      <c r="FL228" s="29">
        <v>3130.4638672808242</v>
      </c>
      <c r="FM228" s="139">
        <v>3407.9833310825147</v>
      </c>
      <c r="FN228" s="139">
        <v>3250.9212210542646</v>
      </c>
      <c r="FO228" s="172">
        <f t="shared" si="9"/>
        <v>8166.9879518072294</v>
      </c>
      <c r="FP228" s="170">
        <f t="shared" si="10"/>
        <v>158.39160528697934</v>
      </c>
      <c r="FR228" s="175"/>
      <c r="FS228" s="195"/>
      <c r="FV228" s="175">
        <v>7162</v>
      </c>
      <c r="FW228" s="2">
        <f t="shared" si="11"/>
        <v>-7162</v>
      </c>
      <c r="FZ228" s="186"/>
      <c r="GA228" s="2"/>
      <c r="GB228" s="2"/>
    </row>
    <row r="229" spans="1:184" ht="13" x14ac:dyDescent="0.3">
      <c r="A229" s="174">
        <v>790</v>
      </c>
      <c r="B229" s="81" t="s">
        <v>365</v>
      </c>
      <c r="C229" s="179">
        <v>24651</v>
      </c>
      <c r="D229" s="138"/>
      <c r="E229" s="142">
        <v>0.82021682393093753</v>
      </c>
      <c r="F229" s="142">
        <v>46.710848343187131</v>
      </c>
      <c r="G229" s="183">
        <v>-2075.2910632428707</v>
      </c>
      <c r="H229" s="144"/>
      <c r="I229" s="186"/>
      <c r="K229" s="210">
        <v>53.799084978047681</v>
      </c>
      <c r="L229" s="143">
        <v>1063.689099833678</v>
      </c>
      <c r="M229" s="146">
        <v>48.802285440388346</v>
      </c>
      <c r="N229" s="143">
        <v>7955.4987627276787</v>
      </c>
      <c r="O229" s="138">
        <v>71425</v>
      </c>
      <c r="P229" s="143">
        <v>38160</v>
      </c>
      <c r="Q229" s="184">
        <v>175865</v>
      </c>
      <c r="R229" s="184">
        <v>-137705</v>
      </c>
      <c r="S229" s="139">
        <v>80936</v>
      </c>
      <c r="T229" s="138">
        <v>63346</v>
      </c>
      <c r="U229" s="151"/>
      <c r="W229" s="183">
        <v>-393</v>
      </c>
      <c r="X229" s="183">
        <v>1588</v>
      </c>
      <c r="Y229" s="184">
        <v>7772</v>
      </c>
      <c r="Z229" s="130">
        <v>8034</v>
      </c>
      <c r="AA229" s="130">
        <v>0</v>
      </c>
      <c r="AB229" s="130">
        <v>0</v>
      </c>
      <c r="AC229" s="184">
        <v>-262</v>
      </c>
      <c r="AD229" s="183">
        <v>-737</v>
      </c>
      <c r="AE229" s="184">
        <v>965</v>
      </c>
      <c r="AF229" s="183">
        <v>0</v>
      </c>
      <c r="AG229" s="183">
        <v>-34</v>
      </c>
      <c r="AH229" s="183">
        <v>24630</v>
      </c>
      <c r="AI229" s="183">
        <v>7548</v>
      </c>
      <c r="AJ229" s="167"/>
      <c r="AK229" s="183">
        <v>1160</v>
      </c>
      <c r="AL229" s="183">
        <v>-9563</v>
      </c>
      <c r="AM229" s="180">
        <v>-2185</v>
      </c>
      <c r="AN229" s="139">
        <v>80936</v>
      </c>
      <c r="AO229" s="138">
        <v>70545</v>
      </c>
      <c r="AP229" s="184">
        <v>4654</v>
      </c>
      <c r="AQ229" s="138">
        <v>5737</v>
      </c>
      <c r="AR229" s="109">
        <v>20.75</v>
      </c>
      <c r="AS229" s="144"/>
      <c r="AT229" s="139">
        <v>107</v>
      </c>
      <c r="AU229" s="228">
        <v>24277</v>
      </c>
      <c r="AV229" s="138"/>
      <c r="AW229" s="224">
        <v>0.27842252310337418</v>
      </c>
      <c r="AX229" s="225">
        <v>53.036160639893353</v>
      </c>
      <c r="AY229" s="139">
        <v>-2563.7434608889071</v>
      </c>
      <c r="AZ229" s="144"/>
      <c r="BA229"/>
      <c r="BC229" s="189">
        <v>49.681105235272362</v>
      </c>
      <c r="BD229" s="183">
        <v>1090.6619434032211</v>
      </c>
      <c r="BE229" s="140">
        <v>48.061854747269798</v>
      </c>
      <c r="BF229" s="139">
        <v>8282.9015117189101</v>
      </c>
      <c r="BG229" s="184">
        <v>71387</v>
      </c>
      <c r="BH229" s="216">
        <v>35458</v>
      </c>
      <c r="BI229" s="216">
        <v>178476</v>
      </c>
      <c r="BJ229" s="216">
        <v>-142520</v>
      </c>
      <c r="BK229" s="216">
        <v>81821</v>
      </c>
      <c r="BL229" s="216">
        <v>62751</v>
      </c>
      <c r="BM229" s="151"/>
      <c r="BO229" s="216">
        <v>-372</v>
      </c>
      <c r="BP229" s="216">
        <v>539</v>
      </c>
      <c r="BQ229" s="216">
        <v>2219</v>
      </c>
      <c r="BR229" s="216">
        <v>7715</v>
      </c>
      <c r="BS229" s="216">
        <v>0</v>
      </c>
      <c r="BT229" s="216">
        <v>0</v>
      </c>
      <c r="BU229" s="216">
        <v>-5496</v>
      </c>
      <c r="BV229" s="183">
        <v>252</v>
      </c>
      <c r="BW229" s="184">
        <v>0</v>
      </c>
      <c r="BX229" s="183">
        <v>0</v>
      </c>
      <c r="BY229" s="183">
        <v>-5244</v>
      </c>
      <c r="BZ229" s="183">
        <v>19387</v>
      </c>
      <c r="CA229" s="183">
        <v>1942</v>
      </c>
      <c r="CB229" s="167"/>
      <c r="CC229" s="183">
        <v>788</v>
      </c>
      <c r="CD229" s="183">
        <v>-8908</v>
      </c>
      <c r="CE229" s="180">
        <v>-11176</v>
      </c>
      <c r="CF229" s="139">
        <v>81821</v>
      </c>
      <c r="CG229" s="216">
        <v>71198</v>
      </c>
      <c r="CH229" s="216">
        <v>4745</v>
      </c>
      <c r="CI229" s="216">
        <v>5878</v>
      </c>
      <c r="CJ229" s="212">
        <v>20.75</v>
      </c>
      <c r="CK229" s="144"/>
      <c r="CL229" s="130">
        <v>187</v>
      </c>
      <c r="CM229" s="228">
        <v>24052</v>
      </c>
      <c r="CN229" s="138"/>
      <c r="CO229" s="142">
        <v>1.3914728682170543</v>
      </c>
      <c r="CP229" s="142">
        <v>49.456700176670161</v>
      </c>
      <c r="CQ229" s="183">
        <v>-2415.4332280059871</v>
      </c>
      <c r="CR229" s="144"/>
      <c r="CS229"/>
      <c r="CU229" s="232">
        <v>50.944461629865316</v>
      </c>
      <c r="CV229" s="143">
        <v>1206.6771994012972</v>
      </c>
      <c r="CW229" s="146">
        <v>53.081631323659103</v>
      </c>
      <c r="CX229" s="143">
        <v>8297.3557292532842</v>
      </c>
      <c r="CY229" s="131">
        <v>71480</v>
      </c>
      <c r="CZ229" s="229">
        <v>36861</v>
      </c>
      <c r="DA229" s="229">
        <v>177440</v>
      </c>
      <c r="DB229" s="216">
        <v>-140579</v>
      </c>
      <c r="DC229" s="229">
        <v>82859</v>
      </c>
      <c r="DD229" s="229">
        <v>72630</v>
      </c>
      <c r="DE229" s="151"/>
      <c r="DG229" s="229">
        <v>-343</v>
      </c>
      <c r="DH229" s="229">
        <v>526</v>
      </c>
      <c r="DI229" s="229">
        <v>15093</v>
      </c>
      <c r="DJ229" s="229">
        <v>10734</v>
      </c>
      <c r="DK229" s="229">
        <v>0</v>
      </c>
      <c r="DL229" s="229">
        <v>0</v>
      </c>
      <c r="DM229" s="229">
        <v>4359</v>
      </c>
      <c r="DN229" s="130">
        <v>-658</v>
      </c>
      <c r="DO229" s="131">
        <v>888</v>
      </c>
      <c r="DP229" s="130">
        <v>0</v>
      </c>
      <c r="DQ229" s="130">
        <v>4589</v>
      </c>
      <c r="DR229" s="130">
        <v>23976</v>
      </c>
      <c r="DS229" s="130">
        <v>14477</v>
      </c>
      <c r="DT229" s="167"/>
      <c r="DU229" s="183">
        <v>-1017</v>
      </c>
      <c r="DV229" s="183">
        <v>-10750</v>
      </c>
      <c r="DW229" s="180">
        <v>4135</v>
      </c>
      <c r="DX229" s="130">
        <v>82859</v>
      </c>
      <c r="DY229" s="229">
        <v>72378</v>
      </c>
      <c r="DZ229" s="229">
        <v>5088</v>
      </c>
      <c r="EA229" s="229">
        <v>5393</v>
      </c>
      <c r="EB229" s="212">
        <v>20.75</v>
      </c>
      <c r="EC229" s="208"/>
      <c r="ED229" s="183">
        <v>169.867647058823</v>
      </c>
      <c r="EE229" s="3">
        <v>77458</v>
      </c>
      <c r="EF229" s="183">
        <v>77573</v>
      </c>
      <c r="EG229" s="130">
        <v>75450</v>
      </c>
      <c r="EH229" s="130"/>
      <c r="EI229" s="130"/>
      <c r="EJ229" s="130"/>
      <c r="EK229" s="183">
        <v>-10896</v>
      </c>
      <c r="EL229" s="183">
        <v>638</v>
      </c>
      <c r="EM229" s="183">
        <v>525</v>
      </c>
      <c r="EN229" s="226">
        <v>-13823</v>
      </c>
      <c r="EO229" s="226">
        <v>0</v>
      </c>
      <c r="EP229" s="226">
        <v>705</v>
      </c>
      <c r="EQ229" s="226">
        <v>-11492</v>
      </c>
      <c r="ER229" s="230">
        <v>500</v>
      </c>
      <c r="ES229" s="230">
        <v>650</v>
      </c>
      <c r="ET229" s="3">
        <v>9917</v>
      </c>
      <c r="EU229" s="211">
        <v>0</v>
      </c>
      <c r="EV229" s="183">
        <v>17088</v>
      </c>
      <c r="EW229" s="183">
        <v>0</v>
      </c>
      <c r="EX229" s="130">
        <v>11200</v>
      </c>
      <c r="EY229" s="183">
        <v>0</v>
      </c>
      <c r="EZ229" s="3">
        <v>53387</v>
      </c>
      <c r="FA229" s="3">
        <v>44527</v>
      </c>
      <c r="FB229" s="3">
        <v>8860</v>
      </c>
      <c r="FC229" s="3">
        <v>205</v>
      </c>
      <c r="FD229" s="226">
        <v>61567</v>
      </c>
      <c r="FE229" s="183">
        <v>51377</v>
      </c>
      <c r="FF229" s="183">
        <v>10190</v>
      </c>
      <c r="FG229" s="183">
        <v>201</v>
      </c>
      <c r="FH229" s="230">
        <v>62017</v>
      </c>
      <c r="FI229" s="130">
        <v>51414</v>
      </c>
      <c r="FJ229" s="130">
        <v>10603</v>
      </c>
      <c r="FK229" s="130">
        <v>197</v>
      </c>
      <c r="FL229" s="29">
        <v>3763.6201371141128</v>
      </c>
      <c r="FM229" s="139">
        <v>4492.6061704493959</v>
      </c>
      <c r="FN229" s="139">
        <v>4642.0256111757863</v>
      </c>
      <c r="FO229" s="172">
        <f t="shared" si="9"/>
        <v>3488.0963855421687</v>
      </c>
      <c r="FP229" s="170">
        <f t="shared" si="10"/>
        <v>145.02313261026811</v>
      </c>
      <c r="FR229" s="175"/>
      <c r="FS229" s="195"/>
      <c r="FV229" s="175">
        <v>5991</v>
      </c>
      <c r="FW229" s="2">
        <f t="shared" si="11"/>
        <v>-5991</v>
      </c>
      <c r="FZ229" s="186"/>
      <c r="GA229" s="2"/>
      <c r="GB229" s="2"/>
    </row>
    <row r="230" spans="1:184" ht="13" x14ac:dyDescent="0.3">
      <c r="A230" s="77">
        <v>738</v>
      </c>
      <c r="B230" s="75" t="s">
        <v>220</v>
      </c>
      <c r="C230" s="179">
        <v>2994</v>
      </c>
      <c r="D230" s="138"/>
      <c r="E230" s="142">
        <v>1.0311111111111111</v>
      </c>
      <c r="F230" s="142">
        <v>52.494440960145958</v>
      </c>
      <c r="G230" s="183">
        <v>-2703.0728122912492</v>
      </c>
      <c r="H230" s="144"/>
      <c r="I230" s="186"/>
      <c r="K230" s="210">
        <v>51.493509878538291</v>
      </c>
      <c r="L230" s="143">
        <v>93.854375417501672</v>
      </c>
      <c r="M230" s="146">
        <v>5.7575502413831821</v>
      </c>
      <c r="N230" s="143">
        <v>5949.8997995991986</v>
      </c>
      <c r="O230" s="138">
        <v>6383</v>
      </c>
      <c r="P230" s="143">
        <v>1580</v>
      </c>
      <c r="Q230" s="184">
        <v>17365</v>
      </c>
      <c r="R230" s="184">
        <v>-15785</v>
      </c>
      <c r="S230" s="139">
        <v>11461</v>
      </c>
      <c r="T230" s="138">
        <v>4498</v>
      </c>
      <c r="U230" s="151"/>
      <c r="W230" s="183">
        <v>44</v>
      </c>
      <c r="X230" s="183">
        <v>11</v>
      </c>
      <c r="Y230" s="184">
        <v>229</v>
      </c>
      <c r="Z230" s="130">
        <v>388</v>
      </c>
      <c r="AA230" s="130">
        <v>0</v>
      </c>
      <c r="AB230" s="130">
        <v>0</v>
      </c>
      <c r="AC230" s="184">
        <v>-159</v>
      </c>
      <c r="AD230" s="184">
        <v>0</v>
      </c>
      <c r="AE230" s="183">
        <v>0</v>
      </c>
      <c r="AF230" s="184">
        <v>0</v>
      </c>
      <c r="AG230" s="183">
        <v>-159</v>
      </c>
      <c r="AH230" s="183">
        <v>2481</v>
      </c>
      <c r="AI230" s="183">
        <v>217</v>
      </c>
      <c r="AJ230" s="167"/>
      <c r="AK230" s="183">
        <v>156</v>
      </c>
      <c r="AL230" s="183">
        <v>-222</v>
      </c>
      <c r="AM230" s="180">
        <v>26</v>
      </c>
      <c r="AN230" s="139">
        <v>11461</v>
      </c>
      <c r="AO230" s="138">
        <v>9819</v>
      </c>
      <c r="AP230" s="184">
        <v>468</v>
      </c>
      <c r="AQ230" s="138">
        <v>1174</v>
      </c>
      <c r="AR230" s="109">
        <v>21.5</v>
      </c>
      <c r="AS230" s="144"/>
      <c r="AT230" s="139">
        <v>220</v>
      </c>
      <c r="AU230" s="228">
        <v>2945</v>
      </c>
      <c r="AV230" s="138"/>
      <c r="AW230" s="224">
        <v>-0.22809949857437814</v>
      </c>
      <c r="AX230" s="225">
        <v>62.63214427045056</v>
      </c>
      <c r="AY230" s="139">
        <v>-3354.8387096774195</v>
      </c>
      <c r="AZ230" s="144"/>
      <c r="BA230"/>
      <c r="BC230" s="189">
        <v>44.880462473055069</v>
      </c>
      <c r="BD230" s="183">
        <v>99.15110356536502</v>
      </c>
      <c r="BE230" s="140">
        <v>5.3043348429801425</v>
      </c>
      <c r="BF230" s="139">
        <v>6822.750424448217</v>
      </c>
      <c r="BG230" s="184">
        <v>6596</v>
      </c>
      <c r="BH230" s="216">
        <v>1646</v>
      </c>
      <c r="BI230" s="216">
        <v>18029</v>
      </c>
      <c r="BJ230" s="216">
        <v>-16383</v>
      </c>
      <c r="BK230" s="216">
        <v>11370</v>
      </c>
      <c r="BL230" s="216">
        <v>4673</v>
      </c>
      <c r="BM230" s="151"/>
      <c r="BO230" s="216">
        <v>38</v>
      </c>
      <c r="BP230" s="216">
        <v>8</v>
      </c>
      <c r="BQ230" s="216">
        <v>-294</v>
      </c>
      <c r="BR230" s="216">
        <v>422</v>
      </c>
      <c r="BS230" s="216">
        <v>0</v>
      </c>
      <c r="BT230" s="216">
        <v>0</v>
      </c>
      <c r="BU230" s="216">
        <v>-716</v>
      </c>
      <c r="BV230" s="184">
        <v>0</v>
      </c>
      <c r="BW230" s="183">
        <v>0</v>
      </c>
      <c r="BX230" s="184">
        <v>0</v>
      </c>
      <c r="BY230" s="183">
        <v>-716</v>
      </c>
      <c r="BZ230" s="183">
        <v>1764</v>
      </c>
      <c r="CA230" s="183">
        <v>-294</v>
      </c>
      <c r="CB230" s="167"/>
      <c r="CC230" s="183">
        <v>8</v>
      </c>
      <c r="CD230" s="183">
        <v>-140</v>
      </c>
      <c r="CE230" s="180">
        <v>-1745</v>
      </c>
      <c r="CF230" s="139">
        <v>11370</v>
      </c>
      <c r="CG230" s="216">
        <v>9747</v>
      </c>
      <c r="CH230" s="216">
        <v>464</v>
      </c>
      <c r="CI230" s="216">
        <v>1159</v>
      </c>
      <c r="CJ230" s="212">
        <v>21.5</v>
      </c>
      <c r="CK230" s="144"/>
      <c r="CL230" s="130">
        <v>259</v>
      </c>
      <c r="CM230" s="228">
        <v>2950</v>
      </c>
      <c r="CN230" s="138"/>
      <c r="CO230" s="142">
        <v>30.753424657534246</v>
      </c>
      <c r="CP230" s="142">
        <v>61.092428411291145</v>
      </c>
      <c r="CQ230" s="183">
        <v>-3696.6101694915255</v>
      </c>
      <c r="CR230" s="144"/>
      <c r="CS230"/>
      <c r="CU230" s="232">
        <v>47.535180868514203</v>
      </c>
      <c r="CV230" s="143">
        <v>97.288135593220332</v>
      </c>
      <c r="CW230" s="146">
        <v>5.034361783929258</v>
      </c>
      <c r="CX230" s="143">
        <v>7053.5593220338988</v>
      </c>
      <c r="CY230" s="131">
        <v>6648</v>
      </c>
      <c r="CZ230" s="229">
        <v>1705</v>
      </c>
      <c r="DA230" s="229">
        <v>17462</v>
      </c>
      <c r="DB230" s="216">
        <v>-15757</v>
      </c>
      <c r="DC230" s="229">
        <v>11631</v>
      </c>
      <c r="DD230" s="229">
        <v>6290</v>
      </c>
      <c r="DE230" s="151"/>
      <c r="DG230" s="229">
        <v>49</v>
      </c>
      <c r="DH230" s="229">
        <v>19</v>
      </c>
      <c r="DI230" s="229">
        <v>2232</v>
      </c>
      <c r="DJ230" s="229">
        <v>381</v>
      </c>
      <c r="DK230" s="229">
        <v>0</v>
      </c>
      <c r="DL230" s="229">
        <v>0</v>
      </c>
      <c r="DM230" s="229">
        <v>1851</v>
      </c>
      <c r="DN230" s="131">
        <v>0</v>
      </c>
      <c r="DO230" s="130">
        <v>0</v>
      </c>
      <c r="DP230" s="131">
        <v>0</v>
      </c>
      <c r="DQ230" s="130">
        <v>1851</v>
      </c>
      <c r="DR230" s="130">
        <v>3615</v>
      </c>
      <c r="DS230" s="130">
        <v>2198</v>
      </c>
      <c r="DT230" s="167"/>
      <c r="DU230" s="183">
        <v>92</v>
      </c>
      <c r="DV230" s="183">
        <v>-60</v>
      </c>
      <c r="DW230" s="180">
        <v>-1029</v>
      </c>
      <c r="DX230" s="130">
        <v>11631</v>
      </c>
      <c r="DY230" s="229">
        <v>10035</v>
      </c>
      <c r="DZ230" s="229">
        <v>513</v>
      </c>
      <c r="EA230" s="229">
        <v>1083</v>
      </c>
      <c r="EB230" s="212">
        <v>21.5</v>
      </c>
      <c r="EC230" s="208"/>
      <c r="ED230" s="183">
        <v>101.367647058823</v>
      </c>
      <c r="EE230" s="3">
        <v>9439</v>
      </c>
      <c r="EF230" s="183">
        <v>9731</v>
      </c>
      <c r="EG230" s="130">
        <v>9305</v>
      </c>
      <c r="EH230" s="130"/>
      <c r="EI230" s="130"/>
      <c r="EJ230" s="130">
        <v>410</v>
      </c>
      <c r="EK230" s="183">
        <v>-224</v>
      </c>
      <c r="EL230" s="183">
        <v>0</v>
      </c>
      <c r="EM230" s="183">
        <v>33</v>
      </c>
      <c r="EN230" s="226">
        <v>-1799</v>
      </c>
      <c r="EO230" s="226">
        <v>0</v>
      </c>
      <c r="EP230" s="226">
        <v>348</v>
      </c>
      <c r="EQ230" s="226">
        <v>-3272</v>
      </c>
      <c r="ER230" s="230">
        <v>0</v>
      </c>
      <c r="ES230" s="230">
        <v>45</v>
      </c>
      <c r="ET230" s="3">
        <v>0</v>
      </c>
      <c r="EU230" s="211">
        <v>-100</v>
      </c>
      <c r="EV230" s="183">
        <v>0</v>
      </c>
      <c r="EW230" s="183">
        <v>1550</v>
      </c>
      <c r="EX230" s="130">
        <v>4000</v>
      </c>
      <c r="EY230" s="183">
        <v>-2850</v>
      </c>
      <c r="EZ230" s="3">
        <v>7635</v>
      </c>
      <c r="FA230" s="3">
        <v>195</v>
      </c>
      <c r="FB230" s="3">
        <v>7440</v>
      </c>
      <c r="FC230" s="3">
        <v>2102</v>
      </c>
      <c r="FD230" s="226">
        <v>9045</v>
      </c>
      <c r="FE230" s="183">
        <v>135</v>
      </c>
      <c r="FF230" s="183">
        <v>8910</v>
      </c>
      <c r="FG230" s="183">
        <v>2218</v>
      </c>
      <c r="FH230" s="230">
        <v>10135</v>
      </c>
      <c r="FI230" s="130">
        <v>3654</v>
      </c>
      <c r="FJ230" s="130">
        <v>6481</v>
      </c>
      <c r="FK230" s="130">
        <v>2205</v>
      </c>
      <c r="FL230" s="29">
        <v>3846.0253841015365</v>
      </c>
      <c r="FM230" s="139">
        <v>4303.2258064516136</v>
      </c>
      <c r="FN230" s="139">
        <v>4599.6610169491523</v>
      </c>
      <c r="FO230" s="172">
        <f t="shared" si="9"/>
        <v>466.74418604651163</v>
      </c>
      <c r="FP230" s="170">
        <f t="shared" si="10"/>
        <v>158.21836815135987</v>
      </c>
      <c r="FR230" s="175"/>
      <c r="FS230" s="195"/>
      <c r="FV230" s="175">
        <v>444</v>
      </c>
      <c r="FW230" s="2">
        <f t="shared" si="11"/>
        <v>-444</v>
      </c>
      <c r="FZ230" s="186"/>
      <c r="GA230" s="2"/>
      <c r="GB230" s="2"/>
    </row>
    <row r="231" spans="1:184" ht="13" x14ac:dyDescent="0.3">
      <c r="A231" s="77">
        <v>739</v>
      </c>
      <c r="B231" s="75" t="s">
        <v>221</v>
      </c>
      <c r="C231" s="179">
        <v>3429</v>
      </c>
      <c r="D231" s="138"/>
      <c r="E231" s="142">
        <v>1.6738836265223274</v>
      </c>
      <c r="F231" s="142">
        <v>35.226778242677824</v>
      </c>
      <c r="G231" s="183">
        <v>-2293.3799941673956</v>
      </c>
      <c r="H231" s="144"/>
      <c r="I231" s="186"/>
      <c r="K231" s="210">
        <v>56.994036663476408</v>
      </c>
      <c r="L231" s="143">
        <v>427.52989209682124</v>
      </c>
      <c r="M231" s="146">
        <v>17.18557297019527</v>
      </c>
      <c r="N231" s="143">
        <v>9080.1983085447664</v>
      </c>
      <c r="O231" s="138">
        <v>8055</v>
      </c>
      <c r="P231" s="143">
        <v>6092</v>
      </c>
      <c r="Q231" s="184">
        <v>28670</v>
      </c>
      <c r="R231" s="184">
        <v>-22578</v>
      </c>
      <c r="S231" s="139">
        <v>12130</v>
      </c>
      <c r="T231" s="138">
        <v>11653</v>
      </c>
      <c r="U231" s="151"/>
      <c r="W231" s="183">
        <v>-60</v>
      </c>
      <c r="X231" s="183">
        <v>4</v>
      </c>
      <c r="Y231" s="184">
        <v>1149</v>
      </c>
      <c r="Z231" s="130">
        <v>1307</v>
      </c>
      <c r="AA231" s="131">
        <v>0</v>
      </c>
      <c r="AB231" s="131">
        <v>0</v>
      </c>
      <c r="AC231" s="184">
        <v>-158</v>
      </c>
      <c r="AD231" s="184">
        <v>0</v>
      </c>
      <c r="AE231" s="183">
        <v>0</v>
      </c>
      <c r="AF231" s="183">
        <v>0</v>
      </c>
      <c r="AG231" s="183">
        <v>-158</v>
      </c>
      <c r="AH231" s="183">
        <v>3710</v>
      </c>
      <c r="AI231" s="183">
        <v>1036</v>
      </c>
      <c r="AJ231" s="167"/>
      <c r="AK231" s="183">
        <v>680</v>
      </c>
      <c r="AL231" s="183">
        <v>-651</v>
      </c>
      <c r="AM231" s="180">
        <v>-294</v>
      </c>
      <c r="AN231" s="139">
        <v>12130</v>
      </c>
      <c r="AO231" s="138">
        <v>9612</v>
      </c>
      <c r="AP231" s="184">
        <v>1180</v>
      </c>
      <c r="AQ231" s="138">
        <v>1338</v>
      </c>
      <c r="AR231" s="109">
        <v>21.5</v>
      </c>
      <c r="AS231" s="144"/>
      <c r="AT231" s="139">
        <v>100</v>
      </c>
      <c r="AU231" s="228">
        <v>3383</v>
      </c>
      <c r="AV231" s="138"/>
      <c r="AW231" s="224">
        <v>3.9071392910634049</v>
      </c>
      <c r="AX231" s="225">
        <v>31.320779562812746</v>
      </c>
      <c r="AY231" s="139">
        <v>-1336.3878214602423</v>
      </c>
      <c r="AZ231" s="144"/>
      <c r="BA231"/>
      <c r="BC231" s="189">
        <v>62.053861684289771</v>
      </c>
      <c r="BD231" s="183">
        <v>260.12415016257762</v>
      </c>
      <c r="BE231" s="140">
        <v>11.301900070372977</v>
      </c>
      <c r="BF231" s="139">
        <v>8400.8276677505164</v>
      </c>
      <c r="BG231" s="184">
        <v>8348</v>
      </c>
      <c r="BH231" s="216">
        <v>6334</v>
      </c>
      <c r="BI231" s="216">
        <v>26510</v>
      </c>
      <c r="BJ231" s="216">
        <v>-20163</v>
      </c>
      <c r="BK231" s="216">
        <v>12185</v>
      </c>
      <c r="BL231" s="216">
        <v>11857</v>
      </c>
      <c r="BM231" s="151"/>
      <c r="BO231" s="216">
        <v>-46</v>
      </c>
      <c r="BP231" s="216">
        <v>8</v>
      </c>
      <c r="BQ231" s="216">
        <v>3841</v>
      </c>
      <c r="BR231" s="216">
        <v>1191</v>
      </c>
      <c r="BS231" s="216">
        <v>0</v>
      </c>
      <c r="BT231" s="216">
        <v>0</v>
      </c>
      <c r="BU231" s="216">
        <v>2650</v>
      </c>
      <c r="BV231" s="184">
        <v>0</v>
      </c>
      <c r="BW231" s="183">
        <v>0</v>
      </c>
      <c r="BX231" s="183">
        <v>0</v>
      </c>
      <c r="BY231" s="183">
        <v>2650</v>
      </c>
      <c r="BZ231" s="183">
        <v>6361</v>
      </c>
      <c r="CA231" s="183">
        <v>4082</v>
      </c>
      <c r="CB231" s="167"/>
      <c r="CC231" s="183">
        <v>-2918</v>
      </c>
      <c r="CD231" s="183">
        <v>-719</v>
      </c>
      <c r="CE231" s="180">
        <v>3341</v>
      </c>
      <c r="CF231" s="139">
        <v>12185</v>
      </c>
      <c r="CG231" s="216">
        <v>9638</v>
      </c>
      <c r="CH231" s="216">
        <v>1165</v>
      </c>
      <c r="CI231" s="216">
        <v>1382</v>
      </c>
      <c r="CJ231" s="212">
        <v>21.5</v>
      </c>
      <c r="CK231" s="144"/>
      <c r="CL231" s="130">
        <v>3</v>
      </c>
      <c r="CM231" s="228">
        <v>3326</v>
      </c>
      <c r="CN231" s="138"/>
      <c r="CO231" s="142">
        <v>2.6336056009334889</v>
      </c>
      <c r="CP231" s="142">
        <v>27.421164153059951</v>
      </c>
      <c r="CQ231" s="183">
        <v>-657.24594107035477</v>
      </c>
      <c r="CR231" s="144"/>
      <c r="CS231"/>
      <c r="CU231" s="232">
        <v>62.761423982167443</v>
      </c>
      <c r="CV231" s="143">
        <v>1622.9705351773903</v>
      </c>
      <c r="CW231" s="146">
        <v>62.34045246005379</v>
      </c>
      <c r="CX231" s="143">
        <v>9502.4052916416113</v>
      </c>
      <c r="CY231" s="131">
        <v>8239</v>
      </c>
      <c r="CZ231" s="229">
        <v>5963</v>
      </c>
      <c r="DA231" s="229">
        <v>29882</v>
      </c>
      <c r="DB231" s="216">
        <v>-23919</v>
      </c>
      <c r="DC231" s="229">
        <v>12743</v>
      </c>
      <c r="DD231" s="229">
        <v>13386</v>
      </c>
      <c r="DE231" s="151"/>
      <c r="DG231" s="229">
        <v>-22</v>
      </c>
      <c r="DH231" s="229">
        <v>4</v>
      </c>
      <c r="DI231" s="229">
        <v>2192</v>
      </c>
      <c r="DJ231" s="229">
        <v>1180</v>
      </c>
      <c r="DK231" s="229">
        <v>0</v>
      </c>
      <c r="DL231" s="229">
        <v>0</v>
      </c>
      <c r="DM231" s="229">
        <v>1012</v>
      </c>
      <c r="DN231" s="131">
        <v>0</v>
      </c>
      <c r="DO231" s="130">
        <v>0</v>
      </c>
      <c r="DP231" s="130">
        <v>0</v>
      </c>
      <c r="DQ231" s="130">
        <v>1012</v>
      </c>
      <c r="DR231" s="130">
        <v>7373</v>
      </c>
      <c r="DS231" s="130">
        <v>3178</v>
      </c>
      <c r="DT231" s="167"/>
      <c r="DU231" s="183">
        <v>2897</v>
      </c>
      <c r="DV231" s="183">
        <v>-792</v>
      </c>
      <c r="DW231" s="180">
        <v>2353</v>
      </c>
      <c r="DX231" s="130">
        <v>12743</v>
      </c>
      <c r="DY231" s="229">
        <v>10252</v>
      </c>
      <c r="DZ231" s="229">
        <v>1253</v>
      </c>
      <c r="EA231" s="229">
        <v>1238</v>
      </c>
      <c r="EB231" s="212">
        <v>21.5</v>
      </c>
      <c r="EC231" s="208"/>
      <c r="ED231" s="183">
        <v>153.75</v>
      </c>
      <c r="EE231" s="3">
        <v>18051</v>
      </c>
      <c r="EF231" s="183">
        <v>15287</v>
      </c>
      <c r="EG231" s="130">
        <v>18014</v>
      </c>
      <c r="EH231" s="130"/>
      <c r="EI231" s="130"/>
      <c r="EJ231" s="130"/>
      <c r="EK231" s="183">
        <v>-1722</v>
      </c>
      <c r="EL231" s="183">
        <v>63</v>
      </c>
      <c r="EM231" s="183">
        <v>329</v>
      </c>
      <c r="EN231" s="226">
        <v>-1132</v>
      </c>
      <c r="EO231" s="226">
        <v>152</v>
      </c>
      <c r="EP231" s="226">
        <v>239</v>
      </c>
      <c r="EQ231" s="226">
        <v>-826</v>
      </c>
      <c r="ER231" s="230">
        <v>0</v>
      </c>
      <c r="ES231" s="230">
        <v>1</v>
      </c>
      <c r="ET231" s="3">
        <v>800</v>
      </c>
      <c r="EU231" s="211">
        <v>0</v>
      </c>
      <c r="EV231" s="183">
        <v>0</v>
      </c>
      <c r="EW231" s="183">
        <v>0</v>
      </c>
      <c r="EX231" s="130">
        <v>0</v>
      </c>
      <c r="EY231" s="183">
        <v>0</v>
      </c>
      <c r="EZ231" s="3">
        <v>7599</v>
      </c>
      <c r="FA231" s="3">
        <v>6880</v>
      </c>
      <c r="FB231" s="3">
        <v>719</v>
      </c>
      <c r="FC231" s="3">
        <v>1288</v>
      </c>
      <c r="FD231" s="226">
        <v>6880</v>
      </c>
      <c r="FE231" s="183">
        <v>6088</v>
      </c>
      <c r="FF231" s="183">
        <v>792</v>
      </c>
      <c r="FG231" s="183">
        <v>1243</v>
      </c>
      <c r="FH231" s="230">
        <v>6088</v>
      </c>
      <c r="FI231" s="130">
        <v>5296</v>
      </c>
      <c r="FJ231" s="130">
        <v>792</v>
      </c>
      <c r="FK231" s="130">
        <v>1238</v>
      </c>
      <c r="FL231" s="29">
        <v>3459.6092155147271</v>
      </c>
      <c r="FM231" s="139">
        <v>3221.992314513745</v>
      </c>
      <c r="FN231" s="139">
        <v>3094.1070354780518</v>
      </c>
      <c r="FO231" s="172">
        <f t="shared" si="9"/>
        <v>476.83720930232556</v>
      </c>
      <c r="FP231" s="170">
        <f t="shared" si="10"/>
        <v>143.36656924303233</v>
      </c>
      <c r="FR231" s="175"/>
      <c r="FS231" s="195"/>
      <c r="FV231" s="175">
        <v>30</v>
      </c>
      <c r="FW231" s="2">
        <f t="shared" si="11"/>
        <v>-30</v>
      </c>
      <c r="FZ231" s="186"/>
      <c r="GA231" s="2"/>
      <c r="GB231" s="2"/>
    </row>
    <row r="232" spans="1:184" ht="13" x14ac:dyDescent="0.3">
      <c r="A232" s="77">
        <v>740</v>
      </c>
      <c r="B232" s="75" t="s">
        <v>222</v>
      </c>
      <c r="C232" s="179">
        <v>33611</v>
      </c>
      <c r="D232" s="138"/>
      <c r="E232" s="142">
        <v>0.30379746835443039</v>
      </c>
      <c r="F232" s="142">
        <v>58.540934793441863</v>
      </c>
      <c r="G232" s="183">
        <v>-3825.3845467257743</v>
      </c>
      <c r="H232" s="144"/>
      <c r="I232" s="186"/>
      <c r="K232" s="210">
        <v>50.137825951449251</v>
      </c>
      <c r="L232" s="143">
        <v>66.793609235071855</v>
      </c>
      <c r="M232" s="146">
        <v>3.023340331251176</v>
      </c>
      <c r="N232" s="143">
        <v>8063.8183927880755</v>
      </c>
      <c r="O232" s="138">
        <v>51446</v>
      </c>
      <c r="P232" s="143">
        <v>29209</v>
      </c>
      <c r="Q232" s="184">
        <v>239046</v>
      </c>
      <c r="R232" s="184">
        <v>-209837</v>
      </c>
      <c r="S232" s="139">
        <v>129830</v>
      </c>
      <c r="T232" s="138">
        <v>83774</v>
      </c>
      <c r="U232" s="151"/>
      <c r="W232" s="183">
        <v>-663</v>
      </c>
      <c r="X232" s="183">
        <v>779</v>
      </c>
      <c r="Y232" s="184">
        <v>3883</v>
      </c>
      <c r="Z232" s="130">
        <v>8795</v>
      </c>
      <c r="AA232" s="131">
        <v>0</v>
      </c>
      <c r="AB232" s="130">
        <v>0</v>
      </c>
      <c r="AC232" s="184">
        <v>-4912</v>
      </c>
      <c r="AD232" s="183">
        <v>26</v>
      </c>
      <c r="AE232" s="183">
        <v>0</v>
      </c>
      <c r="AF232" s="183">
        <v>0</v>
      </c>
      <c r="AG232" s="183">
        <v>-4886</v>
      </c>
      <c r="AH232" s="183">
        <v>-3660</v>
      </c>
      <c r="AI232" s="183">
        <v>3440</v>
      </c>
      <c r="AJ232" s="167"/>
      <c r="AK232" s="183">
        <v>3287</v>
      </c>
      <c r="AL232" s="183">
        <v>-14443</v>
      </c>
      <c r="AM232" s="180">
        <v>-10409</v>
      </c>
      <c r="AN232" s="139">
        <v>129830</v>
      </c>
      <c r="AO232" s="138">
        <v>107504</v>
      </c>
      <c r="AP232" s="184">
        <v>9435</v>
      </c>
      <c r="AQ232" s="138">
        <v>12891</v>
      </c>
      <c r="AR232" s="109">
        <v>22</v>
      </c>
      <c r="AS232" s="144"/>
      <c r="AT232" s="139">
        <v>211</v>
      </c>
      <c r="AU232" s="228">
        <v>32974</v>
      </c>
      <c r="AV232" s="138"/>
      <c r="AW232" s="224">
        <v>0.35687711928393945</v>
      </c>
      <c r="AX232" s="225">
        <v>62.145024684088952</v>
      </c>
      <c r="AY232" s="139">
        <v>-4071.6625219870202</v>
      </c>
      <c r="AZ232" s="144"/>
      <c r="BA232"/>
      <c r="BC232" s="189">
        <v>47.181460089393227</v>
      </c>
      <c r="BD232" s="183">
        <v>209.31643112755503</v>
      </c>
      <c r="BE232" s="140">
        <v>9.4324568202155898</v>
      </c>
      <c r="BF232" s="139">
        <v>8099.7452538363559</v>
      </c>
      <c r="BG232" s="184">
        <v>50747</v>
      </c>
      <c r="BH232" s="216">
        <v>26926</v>
      </c>
      <c r="BI232" s="216">
        <v>237546</v>
      </c>
      <c r="BJ232" s="216">
        <v>-210620</v>
      </c>
      <c r="BK232" s="216">
        <v>131652</v>
      </c>
      <c r="BL232" s="216">
        <v>84291</v>
      </c>
      <c r="BM232" s="151"/>
      <c r="BO232" s="216">
        <v>-480</v>
      </c>
      <c r="BP232" s="216">
        <v>1107</v>
      </c>
      <c r="BQ232" s="216">
        <v>5950</v>
      </c>
      <c r="BR232" s="216">
        <v>9627</v>
      </c>
      <c r="BS232" s="216">
        <v>0</v>
      </c>
      <c r="BT232" s="216">
        <v>2402</v>
      </c>
      <c r="BU232" s="216">
        <v>-6079</v>
      </c>
      <c r="BV232" s="183">
        <v>26</v>
      </c>
      <c r="BW232" s="183">
        <v>0</v>
      </c>
      <c r="BX232" s="183">
        <v>0</v>
      </c>
      <c r="BY232" s="183">
        <v>-6053</v>
      </c>
      <c r="BZ232" s="183">
        <v>-9713</v>
      </c>
      <c r="CA232" s="183">
        <v>5794</v>
      </c>
      <c r="CB232" s="167"/>
      <c r="CC232" s="183">
        <v>1554</v>
      </c>
      <c r="CD232" s="183">
        <v>-14475</v>
      </c>
      <c r="CE232" s="180">
        <v>-4061</v>
      </c>
      <c r="CF232" s="139">
        <v>131652</v>
      </c>
      <c r="CG232" s="216">
        <v>108328</v>
      </c>
      <c r="CH232" s="216">
        <v>10348</v>
      </c>
      <c r="CI232" s="216">
        <v>12976</v>
      </c>
      <c r="CJ232" s="212">
        <v>22.25</v>
      </c>
      <c r="CK232" s="144"/>
      <c r="CL232" s="130">
        <v>135</v>
      </c>
      <c r="CM232" s="228">
        <v>32662</v>
      </c>
      <c r="CN232" s="138"/>
      <c r="CO232" s="142">
        <v>1.2089350838803792</v>
      </c>
      <c r="CP232" s="142">
        <v>54.761726135101881</v>
      </c>
      <c r="CQ232" s="183">
        <v>-3417.7943787888066</v>
      </c>
      <c r="CR232" s="144"/>
      <c r="CS232"/>
      <c r="CU232" s="232">
        <v>51.670795857313166</v>
      </c>
      <c r="CV232" s="143">
        <v>793.42967362684465</v>
      </c>
      <c r="CW232" s="146">
        <v>34.160626514552341</v>
      </c>
      <c r="CX232" s="143">
        <v>8477.6498683485388</v>
      </c>
      <c r="CY232" s="131">
        <v>49795</v>
      </c>
      <c r="CZ232" s="229">
        <v>26673</v>
      </c>
      <c r="DA232" s="229">
        <v>234628</v>
      </c>
      <c r="DB232" s="216">
        <v>-207955</v>
      </c>
      <c r="DC232" s="229">
        <v>139278</v>
      </c>
      <c r="DD232" s="229">
        <v>100633</v>
      </c>
      <c r="DE232" s="151"/>
      <c r="DG232" s="229">
        <v>-358</v>
      </c>
      <c r="DH232" s="229">
        <v>1161</v>
      </c>
      <c r="DI232" s="229">
        <v>32759</v>
      </c>
      <c r="DJ232" s="229">
        <v>10665</v>
      </c>
      <c r="DK232" s="229">
        <v>0</v>
      </c>
      <c r="DL232" s="229">
        <v>0</v>
      </c>
      <c r="DM232" s="229">
        <v>22094</v>
      </c>
      <c r="DN232" s="130">
        <v>26</v>
      </c>
      <c r="DO232" s="130">
        <v>0</v>
      </c>
      <c r="DP232" s="130">
        <v>0</v>
      </c>
      <c r="DQ232" s="130">
        <v>22120</v>
      </c>
      <c r="DR232" s="130">
        <v>12407</v>
      </c>
      <c r="DS232" s="130">
        <v>31497</v>
      </c>
      <c r="DT232" s="167"/>
      <c r="DU232" s="183">
        <v>1330</v>
      </c>
      <c r="DV232" s="183">
        <v>-27030</v>
      </c>
      <c r="DW232" s="180">
        <v>18522</v>
      </c>
      <c r="DX232" s="130">
        <v>139278</v>
      </c>
      <c r="DY232" s="229">
        <v>115830</v>
      </c>
      <c r="DZ232" s="229">
        <v>11110</v>
      </c>
      <c r="EA232" s="229">
        <v>12338</v>
      </c>
      <c r="EB232" s="212">
        <v>22.75</v>
      </c>
      <c r="EC232" s="208"/>
      <c r="ED232" s="183">
        <v>36.897058823529399</v>
      </c>
      <c r="EE232" s="3">
        <v>169046</v>
      </c>
      <c r="EF232" s="183">
        <v>168776</v>
      </c>
      <c r="EG232" s="130">
        <v>167041</v>
      </c>
      <c r="EH232" s="130"/>
      <c r="EI232" s="130"/>
      <c r="EJ232" s="130">
        <v>2200</v>
      </c>
      <c r="EK232" s="183">
        <v>-14967</v>
      </c>
      <c r="EL232" s="183">
        <v>21</v>
      </c>
      <c r="EM232" s="183">
        <v>1097</v>
      </c>
      <c r="EN232" s="226">
        <v>-10854</v>
      </c>
      <c r="EO232" s="226">
        <v>727</v>
      </c>
      <c r="EP232" s="226">
        <v>272</v>
      </c>
      <c r="EQ232" s="226">
        <v>-14798</v>
      </c>
      <c r="ER232" s="230">
        <v>507</v>
      </c>
      <c r="ES232" s="230">
        <v>1316</v>
      </c>
      <c r="ET232" s="3">
        <v>20000</v>
      </c>
      <c r="EU232" s="211">
        <v>0</v>
      </c>
      <c r="EV232" s="183">
        <v>23000</v>
      </c>
      <c r="EW232" s="183">
        <v>5000</v>
      </c>
      <c r="EX232" s="130">
        <v>30000</v>
      </c>
      <c r="EY232" s="183">
        <v>-10000</v>
      </c>
      <c r="EZ232" s="3">
        <v>110348</v>
      </c>
      <c r="FA232" s="3">
        <v>61872</v>
      </c>
      <c r="FB232" s="3">
        <v>48476</v>
      </c>
      <c r="FC232" s="3">
        <v>9229</v>
      </c>
      <c r="FD232" s="226">
        <v>123872</v>
      </c>
      <c r="FE232" s="183">
        <v>61842</v>
      </c>
      <c r="FF232" s="183">
        <v>62030</v>
      </c>
      <c r="FG232" s="183">
        <v>11007</v>
      </c>
      <c r="FH232" s="230">
        <v>116842</v>
      </c>
      <c r="FI232" s="130">
        <v>74190</v>
      </c>
      <c r="FJ232" s="130">
        <v>42652</v>
      </c>
      <c r="FK232" s="130">
        <v>6858</v>
      </c>
      <c r="FL232" s="29">
        <v>6078.9324923388176</v>
      </c>
      <c r="FM232" s="139">
        <v>6176.2904106265541</v>
      </c>
      <c r="FN232" s="139">
        <v>5951.0746433163922</v>
      </c>
      <c r="FO232" s="172">
        <f t="shared" si="9"/>
        <v>5091.4285714285716</v>
      </c>
      <c r="FP232" s="170">
        <f t="shared" si="10"/>
        <v>155.88232721292547</v>
      </c>
      <c r="FR232" s="175"/>
      <c r="FS232" s="195"/>
      <c r="FV232" s="175">
        <v>5648</v>
      </c>
      <c r="FW232" s="2">
        <f t="shared" si="11"/>
        <v>-5648</v>
      </c>
      <c r="FZ232" s="186"/>
      <c r="GA232" s="2"/>
      <c r="GB232" s="2"/>
    </row>
    <row r="233" spans="1:184" ht="13" x14ac:dyDescent="0.3">
      <c r="A233" s="77">
        <v>742</v>
      </c>
      <c r="B233" s="75" t="s">
        <v>223</v>
      </c>
      <c r="C233" s="179">
        <v>1015</v>
      </c>
      <c r="D233" s="138"/>
      <c r="E233" s="142">
        <v>-1.1764705882352941E-2</v>
      </c>
      <c r="F233" s="142">
        <v>29.62736089841756</v>
      </c>
      <c r="G233" s="183">
        <v>-693.5960591133005</v>
      </c>
      <c r="H233" s="144"/>
      <c r="I233" s="186"/>
      <c r="K233" s="210">
        <v>60.707585097829003</v>
      </c>
      <c r="L233" s="143">
        <v>1527.0935960591132</v>
      </c>
      <c r="M233" s="146">
        <v>53.352508487363266</v>
      </c>
      <c r="N233" s="143">
        <v>10447.290640394089</v>
      </c>
      <c r="O233" s="138">
        <v>3987</v>
      </c>
      <c r="P233" s="143">
        <v>1311</v>
      </c>
      <c r="Q233" s="184">
        <v>9800</v>
      </c>
      <c r="R233" s="184">
        <v>-8489</v>
      </c>
      <c r="S233" s="139">
        <v>3967</v>
      </c>
      <c r="T233" s="138">
        <v>4517</v>
      </c>
      <c r="U233" s="151"/>
      <c r="W233" s="183">
        <v>-11</v>
      </c>
      <c r="X233" s="183">
        <v>2</v>
      </c>
      <c r="Y233" s="184">
        <v>-14</v>
      </c>
      <c r="Z233" s="130">
        <v>351</v>
      </c>
      <c r="AA233" s="130">
        <v>0</v>
      </c>
      <c r="AB233" s="130">
        <v>0</v>
      </c>
      <c r="AC233" s="184">
        <v>-365</v>
      </c>
      <c r="AD233" s="183">
        <v>8</v>
      </c>
      <c r="AE233" s="183">
        <v>0</v>
      </c>
      <c r="AF233" s="183">
        <v>0</v>
      </c>
      <c r="AG233" s="183">
        <v>-357</v>
      </c>
      <c r="AH233" s="183">
        <v>1635</v>
      </c>
      <c r="AI233" s="183">
        <v>-94</v>
      </c>
      <c r="AJ233" s="167"/>
      <c r="AK233" s="183">
        <v>-265</v>
      </c>
      <c r="AL233" s="183">
        <v>-244</v>
      </c>
      <c r="AM233" s="180">
        <v>-305</v>
      </c>
      <c r="AN233" s="139">
        <v>3967</v>
      </c>
      <c r="AO233" s="138">
        <v>2619</v>
      </c>
      <c r="AP233" s="184">
        <v>956</v>
      </c>
      <c r="AQ233" s="138">
        <v>392</v>
      </c>
      <c r="AR233" s="109">
        <v>21.75</v>
      </c>
      <c r="AS233" s="144"/>
      <c r="AT233" s="139">
        <v>257</v>
      </c>
      <c r="AU233" s="228">
        <v>1005</v>
      </c>
      <c r="AV233" s="138"/>
      <c r="AW233" s="224">
        <v>0.43534883720930234</v>
      </c>
      <c r="AX233" s="225">
        <v>26.560218089767307</v>
      </c>
      <c r="AY233" s="139">
        <v>-646.76616915422881</v>
      </c>
      <c r="AZ233" s="144"/>
      <c r="BA233"/>
      <c r="BC233" s="189">
        <v>61.214426599041985</v>
      </c>
      <c r="BD233" s="183">
        <v>1668.6567164179105</v>
      </c>
      <c r="BE233" s="140">
        <v>58.53543081189634</v>
      </c>
      <c r="BF233" s="139">
        <v>10404.97512437811</v>
      </c>
      <c r="BG233" s="184">
        <v>4079</v>
      </c>
      <c r="BH233" s="216">
        <v>1324</v>
      </c>
      <c r="BI233" s="216">
        <v>10179</v>
      </c>
      <c r="BJ233" s="216">
        <v>-8855</v>
      </c>
      <c r="BK233" s="216">
        <v>4380</v>
      </c>
      <c r="BL233" s="216">
        <v>4567</v>
      </c>
      <c r="BM233" s="151"/>
      <c r="BO233" s="216">
        <v>-12</v>
      </c>
      <c r="BP233" s="216">
        <v>25</v>
      </c>
      <c r="BQ233" s="216">
        <v>105</v>
      </c>
      <c r="BR233" s="216">
        <v>289</v>
      </c>
      <c r="BS233" s="216">
        <v>0</v>
      </c>
      <c r="BT233" s="216">
        <v>0</v>
      </c>
      <c r="BU233" s="216">
        <v>-184</v>
      </c>
      <c r="BV233" s="183">
        <v>8</v>
      </c>
      <c r="BW233" s="183">
        <v>0</v>
      </c>
      <c r="BX233" s="183">
        <v>0</v>
      </c>
      <c r="BY233" s="183">
        <v>-176</v>
      </c>
      <c r="BZ233" s="183">
        <v>1459</v>
      </c>
      <c r="CA233" s="183">
        <v>102</v>
      </c>
      <c r="CB233" s="167"/>
      <c r="CC233" s="183">
        <v>247</v>
      </c>
      <c r="CD233" s="183">
        <v>-219</v>
      </c>
      <c r="CE233" s="180">
        <v>58</v>
      </c>
      <c r="CF233" s="139">
        <v>4380</v>
      </c>
      <c r="CG233" s="216">
        <v>2995</v>
      </c>
      <c r="CH233" s="216">
        <v>986</v>
      </c>
      <c r="CI233" s="216">
        <v>399</v>
      </c>
      <c r="CJ233" s="212">
        <v>21.75</v>
      </c>
      <c r="CK233" s="144"/>
      <c r="CL233" s="130">
        <v>179</v>
      </c>
      <c r="CM233" s="228">
        <v>1009</v>
      </c>
      <c r="CN233" s="138"/>
      <c r="CO233" s="142">
        <v>1.2434782608695651</v>
      </c>
      <c r="CP233" s="142">
        <v>30.325047801147228</v>
      </c>
      <c r="CQ233" s="183">
        <v>-668.97918731417246</v>
      </c>
      <c r="CR233" s="144"/>
      <c r="CS233"/>
      <c r="CU233" s="232">
        <v>54.537707711972729</v>
      </c>
      <c r="CV233" s="143">
        <v>2011.8929633300297</v>
      </c>
      <c r="CW233" s="146">
        <v>69.086247086247084</v>
      </c>
      <c r="CX233" s="143">
        <v>10629.335976214074</v>
      </c>
      <c r="CY233" s="131">
        <v>3972</v>
      </c>
      <c r="CZ233" s="229">
        <v>1278</v>
      </c>
      <c r="DA233" s="229">
        <v>10174</v>
      </c>
      <c r="DB233" s="216">
        <v>-8896</v>
      </c>
      <c r="DC233" s="229">
        <v>4206</v>
      </c>
      <c r="DD233" s="229">
        <v>4976</v>
      </c>
      <c r="DE233" s="151"/>
      <c r="DG233" s="229">
        <v>-11</v>
      </c>
      <c r="DH233" s="229">
        <v>0</v>
      </c>
      <c r="DI233" s="229">
        <v>275</v>
      </c>
      <c r="DJ233" s="229">
        <v>781</v>
      </c>
      <c r="DK233" s="229">
        <v>0</v>
      </c>
      <c r="DL233" s="229">
        <v>0</v>
      </c>
      <c r="DM233" s="229">
        <v>-506</v>
      </c>
      <c r="DN233" s="130">
        <v>8</v>
      </c>
      <c r="DO233" s="130">
        <v>0</v>
      </c>
      <c r="DP233" s="130">
        <v>0</v>
      </c>
      <c r="DQ233" s="130">
        <v>-498</v>
      </c>
      <c r="DR233" s="130">
        <v>962</v>
      </c>
      <c r="DS233" s="130">
        <v>270</v>
      </c>
      <c r="DT233" s="167"/>
      <c r="DU233" s="183">
        <v>-66</v>
      </c>
      <c r="DV233" s="183">
        <v>-219</v>
      </c>
      <c r="DW233" s="180">
        <v>-30</v>
      </c>
      <c r="DX233" s="130">
        <v>4206</v>
      </c>
      <c r="DY233" s="229">
        <v>2753</v>
      </c>
      <c r="DZ233" s="229">
        <v>1089</v>
      </c>
      <c r="EA233" s="229">
        <v>364</v>
      </c>
      <c r="EB233" s="212">
        <v>21.75</v>
      </c>
      <c r="EC233" s="208"/>
      <c r="ED233" s="183">
        <v>279.66911764705799</v>
      </c>
      <c r="EE233" s="3">
        <v>4763</v>
      </c>
      <c r="EF233" s="183">
        <v>5047</v>
      </c>
      <c r="EG233" s="130">
        <v>5149</v>
      </c>
      <c r="EH233" s="130"/>
      <c r="EI233" s="130">
        <v>140</v>
      </c>
      <c r="EJ233" s="130"/>
      <c r="EK233" s="183">
        <v>-545</v>
      </c>
      <c r="EL233" s="183">
        <v>105</v>
      </c>
      <c r="EM233" s="183">
        <v>229</v>
      </c>
      <c r="EN233" s="226">
        <v>-46</v>
      </c>
      <c r="EO233" s="226">
        <v>0</v>
      </c>
      <c r="EP233" s="226">
        <v>2</v>
      </c>
      <c r="EQ233" s="226">
        <v>-313</v>
      </c>
      <c r="ER233" s="230">
        <v>8</v>
      </c>
      <c r="ES233" s="230">
        <v>5</v>
      </c>
      <c r="ET233" s="3">
        <v>0</v>
      </c>
      <c r="EU233" s="211">
        <v>0</v>
      </c>
      <c r="EV233" s="183">
        <v>0</v>
      </c>
      <c r="EW233" s="183">
        <v>0</v>
      </c>
      <c r="EX233" s="130">
        <v>0</v>
      </c>
      <c r="EY233" s="183">
        <v>0</v>
      </c>
      <c r="EZ233" s="3">
        <v>1728</v>
      </c>
      <c r="FA233" s="3">
        <v>1509</v>
      </c>
      <c r="FB233" s="3">
        <v>219</v>
      </c>
      <c r="FC233" s="3">
        <v>91</v>
      </c>
      <c r="FD233" s="226">
        <v>1509</v>
      </c>
      <c r="FE233" s="183">
        <v>1290</v>
      </c>
      <c r="FF233" s="183">
        <v>219</v>
      </c>
      <c r="FG233" s="183">
        <v>91</v>
      </c>
      <c r="FH233" s="230">
        <v>1289</v>
      </c>
      <c r="FI233" s="130">
        <v>1081</v>
      </c>
      <c r="FJ233" s="130">
        <v>208</v>
      </c>
      <c r="FK233" s="130">
        <v>91</v>
      </c>
      <c r="FL233" s="29">
        <v>2095.5665024630539</v>
      </c>
      <c r="FM233" s="139">
        <v>2034.8258706467664</v>
      </c>
      <c r="FN233" s="139">
        <v>2398.414271555996</v>
      </c>
      <c r="FO233" s="172">
        <f t="shared" si="9"/>
        <v>126.57471264367815</v>
      </c>
      <c r="FP233" s="170">
        <f t="shared" si="10"/>
        <v>125.44570133169292</v>
      </c>
      <c r="FR233" s="175"/>
      <c r="FS233" s="195"/>
      <c r="FV233" s="175">
        <v>212</v>
      </c>
      <c r="FW233" s="2">
        <f t="shared" si="11"/>
        <v>-212</v>
      </c>
      <c r="FZ233" s="186"/>
      <c r="GA233" s="2"/>
      <c r="GB233" s="2"/>
    </row>
    <row r="234" spans="1:184" ht="13" x14ac:dyDescent="0.3">
      <c r="A234" s="77">
        <v>743</v>
      </c>
      <c r="B234" s="75" t="s">
        <v>224</v>
      </c>
      <c r="C234" s="179">
        <v>63288</v>
      </c>
      <c r="D234" s="138"/>
      <c r="E234" s="142">
        <v>0.50618327541404462</v>
      </c>
      <c r="F234" s="142">
        <v>83.982762323225742</v>
      </c>
      <c r="G234" s="183">
        <v>-5201.2071798761217</v>
      </c>
      <c r="H234" s="144"/>
      <c r="I234" s="186"/>
      <c r="K234" s="210">
        <v>41.934482918832096</v>
      </c>
      <c r="L234" s="143">
        <v>37.732271520667425</v>
      </c>
      <c r="M234" s="146">
        <v>1.7739145300536885</v>
      </c>
      <c r="N234" s="143">
        <v>7763.7782834028567</v>
      </c>
      <c r="O234" s="138">
        <v>182952</v>
      </c>
      <c r="P234" s="143">
        <v>71360</v>
      </c>
      <c r="Q234" s="184">
        <v>407388</v>
      </c>
      <c r="R234" s="184">
        <v>-336028</v>
      </c>
      <c r="S234" s="139">
        <v>247554</v>
      </c>
      <c r="T234" s="138">
        <v>95527</v>
      </c>
      <c r="U234" s="151"/>
      <c r="W234" s="183">
        <v>3946</v>
      </c>
      <c r="X234" s="183">
        <v>3475</v>
      </c>
      <c r="Y234" s="184">
        <v>14474</v>
      </c>
      <c r="Z234" s="130">
        <v>22055</v>
      </c>
      <c r="AA234" s="131">
        <v>0</v>
      </c>
      <c r="AB234" s="131">
        <v>0</v>
      </c>
      <c r="AC234" s="184">
        <v>-7581</v>
      </c>
      <c r="AD234" s="184">
        <v>35</v>
      </c>
      <c r="AE234" s="183">
        <v>0</v>
      </c>
      <c r="AF234" s="183">
        <v>7</v>
      </c>
      <c r="AG234" s="183">
        <v>-7539</v>
      </c>
      <c r="AH234" s="183">
        <v>35939</v>
      </c>
      <c r="AI234" s="183">
        <v>5667</v>
      </c>
      <c r="AJ234" s="167"/>
      <c r="AK234" s="183">
        <v>3166</v>
      </c>
      <c r="AL234" s="183">
        <v>-30247</v>
      </c>
      <c r="AM234" s="180">
        <v>-25416</v>
      </c>
      <c r="AN234" s="139">
        <v>247554</v>
      </c>
      <c r="AO234" s="138">
        <v>208304</v>
      </c>
      <c r="AP234" s="184">
        <v>24713</v>
      </c>
      <c r="AQ234" s="138">
        <v>14537</v>
      </c>
      <c r="AR234" s="109">
        <v>21</v>
      </c>
      <c r="AS234" s="144"/>
      <c r="AT234" s="139">
        <v>149</v>
      </c>
      <c r="AU234" s="228">
        <v>63781</v>
      </c>
      <c r="AV234" s="138"/>
      <c r="AW234" s="224">
        <v>2.8870381307945316E-2</v>
      </c>
      <c r="AX234" s="225">
        <v>92.341143312645897</v>
      </c>
      <c r="AY234" s="139">
        <v>-5765.635534093225</v>
      </c>
      <c r="AZ234" s="144"/>
      <c r="BA234"/>
      <c r="BC234" s="189">
        <v>37.053628897299248</v>
      </c>
      <c r="BD234" s="183">
        <v>94.385475298286323</v>
      </c>
      <c r="BE234" s="140">
        <v>4.3284781675130706</v>
      </c>
      <c r="BF234" s="139">
        <v>7959.0787225035665</v>
      </c>
      <c r="BG234" s="184">
        <v>190890</v>
      </c>
      <c r="BH234" s="216">
        <v>66619</v>
      </c>
      <c r="BI234" s="216">
        <v>430172</v>
      </c>
      <c r="BJ234" s="216">
        <v>-363553</v>
      </c>
      <c r="BK234" s="216">
        <v>257100</v>
      </c>
      <c r="BL234" s="216">
        <v>97793</v>
      </c>
      <c r="BM234" s="151"/>
      <c r="BO234" s="216">
        <v>3934</v>
      </c>
      <c r="BP234" s="216">
        <v>4477</v>
      </c>
      <c r="BQ234" s="216">
        <v>-249</v>
      </c>
      <c r="BR234" s="216">
        <v>22197</v>
      </c>
      <c r="BS234" s="216">
        <v>0</v>
      </c>
      <c r="BT234" s="216">
        <v>0</v>
      </c>
      <c r="BU234" s="216">
        <v>-22446</v>
      </c>
      <c r="BV234" s="184">
        <v>35</v>
      </c>
      <c r="BW234" s="183">
        <v>0</v>
      </c>
      <c r="BX234" s="183">
        <v>15</v>
      </c>
      <c r="BY234" s="183">
        <v>-22396</v>
      </c>
      <c r="BZ234" s="183">
        <v>13541</v>
      </c>
      <c r="CA234" s="183">
        <v>-4538</v>
      </c>
      <c r="CB234" s="167"/>
      <c r="CC234" s="183">
        <v>1026</v>
      </c>
      <c r="CD234" s="183">
        <v>-30085</v>
      </c>
      <c r="CE234" s="180">
        <v>-42299</v>
      </c>
      <c r="CF234" s="139">
        <v>257100</v>
      </c>
      <c r="CG234" s="216">
        <v>216332</v>
      </c>
      <c r="CH234" s="216">
        <v>14991</v>
      </c>
      <c r="CI234" s="216">
        <v>25777</v>
      </c>
      <c r="CJ234" s="212">
        <v>21</v>
      </c>
      <c r="CK234" s="144"/>
      <c r="CL234" s="130">
        <v>233</v>
      </c>
      <c r="CM234" s="228">
        <v>64130</v>
      </c>
      <c r="CN234" s="138"/>
      <c r="CO234" s="142">
        <v>0.53807863934137179</v>
      </c>
      <c r="CP234" s="142">
        <v>83.98703978474623</v>
      </c>
      <c r="CQ234" s="183">
        <v>-5603.0406985810077</v>
      </c>
      <c r="CR234" s="144"/>
      <c r="CS234"/>
      <c r="CU234" s="232">
        <v>38.376024856665886</v>
      </c>
      <c r="CV234" s="143">
        <v>202.41696553874942</v>
      </c>
      <c r="CW234" s="146">
        <v>8.7266825063542939</v>
      </c>
      <c r="CX234" s="143">
        <v>8466.2404490877907</v>
      </c>
      <c r="CY234" s="131">
        <v>192685</v>
      </c>
      <c r="CZ234" s="229">
        <v>68692</v>
      </c>
      <c r="DA234" s="229">
        <v>433070</v>
      </c>
      <c r="DB234" s="216">
        <v>-364378</v>
      </c>
      <c r="DC234" s="229">
        <v>266583</v>
      </c>
      <c r="DD234" s="229">
        <v>127063</v>
      </c>
      <c r="DE234" s="151"/>
      <c r="DG234" s="229">
        <v>3780</v>
      </c>
      <c r="DH234" s="229">
        <v>5056</v>
      </c>
      <c r="DI234" s="229">
        <v>38104</v>
      </c>
      <c r="DJ234" s="229">
        <v>24934</v>
      </c>
      <c r="DK234" s="229">
        <v>0</v>
      </c>
      <c r="DL234" s="229">
        <v>0</v>
      </c>
      <c r="DM234" s="229">
        <v>13170</v>
      </c>
      <c r="DN234" s="131">
        <v>35</v>
      </c>
      <c r="DO234" s="130">
        <v>0</v>
      </c>
      <c r="DP234" s="130">
        <v>3</v>
      </c>
      <c r="DQ234" s="130">
        <v>13208</v>
      </c>
      <c r="DR234" s="130">
        <v>26749</v>
      </c>
      <c r="DS234" s="130">
        <v>31960</v>
      </c>
      <c r="DT234" s="167"/>
      <c r="DU234" s="183">
        <v>-530</v>
      </c>
      <c r="DV234" s="183">
        <v>-72161</v>
      </c>
      <c r="DW234" s="180">
        <v>5365</v>
      </c>
      <c r="DX234" s="130">
        <v>266583</v>
      </c>
      <c r="DY234" s="229">
        <v>226354</v>
      </c>
      <c r="DZ234" s="229">
        <v>16434</v>
      </c>
      <c r="EA234" s="229">
        <v>23795</v>
      </c>
      <c r="EB234" s="212">
        <v>21</v>
      </c>
      <c r="EC234" s="208"/>
      <c r="ED234" s="183">
        <v>188</v>
      </c>
      <c r="EE234" s="3">
        <v>161172</v>
      </c>
      <c r="EF234" s="183">
        <v>173847</v>
      </c>
      <c r="EG234" s="130">
        <v>172441</v>
      </c>
      <c r="EH234" s="130"/>
      <c r="EI234" s="130"/>
      <c r="EJ234" s="130">
        <v>2800</v>
      </c>
      <c r="EK234" s="183">
        <v>-41386</v>
      </c>
      <c r="EL234" s="183">
        <v>524</v>
      </c>
      <c r="EM234" s="183">
        <v>9779</v>
      </c>
      <c r="EN234" s="226">
        <v>-45482</v>
      </c>
      <c r="EO234" s="226">
        <v>381</v>
      </c>
      <c r="EP234" s="226">
        <v>7340</v>
      </c>
      <c r="EQ234" s="226">
        <v>-35802</v>
      </c>
      <c r="ER234" s="230">
        <v>1084</v>
      </c>
      <c r="ES234" s="230">
        <v>8123</v>
      </c>
      <c r="ET234" s="3">
        <v>38823</v>
      </c>
      <c r="EU234" s="211">
        <v>18263</v>
      </c>
      <c r="EV234" s="183">
        <v>40804</v>
      </c>
      <c r="EW234" s="183">
        <v>27671</v>
      </c>
      <c r="EX234" s="130">
        <v>79067</v>
      </c>
      <c r="EY234" s="183">
        <v>-6000</v>
      </c>
      <c r="EZ234" s="3">
        <v>293349</v>
      </c>
      <c r="FA234" s="3">
        <v>195975</v>
      </c>
      <c r="FB234" s="3">
        <v>97374</v>
      </c>
      <c r="FC234" s="3">
        <v>112533</v>
      </c>
      <c r="FD234" s="226">
        <v>331737</v>
      </c>
      <c r="FE234" s="183">
        <v>165507</v>
      </c>
      <c r="FF234" s="183">
        <v>166230</v>
      </c>
      <c r="FG234" s="183">
        <v>108895</v>
      </c>
      <c r="FH234" s="230">
        <v>332644</v>
      </c>
      <c r="FI234" s="130">
        <v>211263</v>
      </c>
      <c r="FJ234" s="130">
        <v>121381</v>
      </c>
      <c r="FK234" s="130">
        <v>105257</v>
      </c>
      <c r="FL234" s="29">
        <v>9204.9677664012124</v>
      </c>
      <c r="FM234" s="139">
        <v>9370.1729355137104</v>
      </c>
      <c r="FN234" s="139">
        <v>9720.4428504600037</v>
      </c>
      <c r="FO234" s="172">
        <f t="shared" si="9"/>
        <v>10778.761904761905</v>
      </c>
      <c r="FP234" s="170">
        <f t="shared" si="10"/>
        <v>168.07674886577118</v>
      </c>
      <c r="FR234" s="175"/>
      <c r="FS234" s="195"/>
      <c r="FV234" s="175">
        <v>19964</v>
      </c>
      <c r="FW234" s="2">
        <f t="shared" si="11"/>
        <v>-19964</v>
      </c>
      <c r="FZ234" s="186"/>
      <c r="GA234" s="2"/>
      <c r="GB234" s="2"/>
    </row>
    <row r="235" spans="1:184" ht="13" x14ac:dyDescent="0.3">
      <c r="A235" s="77">
        <v>746</v>
      </c>
      <c r="B235" s="75" t="s">
        <v>225</v>
      </c>
      <c r="C235" s="179">
        <v>4980</v>
      </c>
      <c r="D235" s="138"/>
      <c r="E235" s="142">
        <v>1.3241379310344827</v>
      </c>
      <c r="F235" s="142">
        <v>65.50028839023318</v>
      </c>
      <c r="G235" s="183">
        <v>-3215.2610441767065</v>
      </c>
      <c r="H235" s="144"/>
      <c r="I235" s="186"/>
      <c r="K235" s="210">
        <v>37.136284349167028</v>
      </c>
      <c r="L235" s="143">
        <v>1148.995983935743</v>
      </c>
      <c r="M235" s="146">
        <v>49.464273026549513</v>
      </c>
      <c r="N235" s="143">
        <v>8478.5140562248998</v>
      </c>
      <c r="O235" s="138">
        <v>10771</v>
      </c>
      <c r="P235" s="143">
        <v>2942</v>
      </c>
      <c r="Q235" s="184">
        <v>34953</v>
      </c>
      <c r="R235" s="184">
        <v>-32011</v>
      </c>
      <c r="S235" s="139">
        <v>15287</v>
      </c>
      <c r="T235" s="138">
        <v>18180</v>
      </c>
      <c r="U235" s="151"/>
      <c r="W235" s="183">
        <v>-122</v>
      </c>
      <c r="X235" s="183">
        <v>45</v>
      </c>
      <c r="Y235" s="184">
        <v>1379</v>
      </c>
      <c r="Z235" s="130">
        <v>718</v>
      </c>
      <c r="AA235" s="130">
        <v>0</v>
      </c>
      <c r="AB235" s="131">
        <v>0</v>
      </c>
      <c r="AC235" s="184">
        <v>661</v>
      </c>
      <c r="AD235" s="184">
        <v>10</v>
      </c>
      <c r="AE235" s="183">
        <v>0</v>
      </c>
      <c r="AF235" s="183">
        <v>0</v>
      </c>
      <c r="AG235" s="183">
        <v>671</v>
      </c>
      <c r="AH235" s="183">
        <v>3304</v>
      </c>
      <c r="AI235" s="183">
        <v>1358</v>
      </c>
      <c r="AJ235" s="167"/>
      <c r="AK235" s="183">
        <v>-465</v>
      </c>
      <c r="AL235" s="183">
        <v>-1003</v>
      </c>
      <c r="AM235" s="180">
        <v>-3065</v>
      </c>
      <c r="AN235" s="139">
        <v>15287</v>
      </c>
      <c r="AO235" s="138">
        <v>12316</v>
      </c>
      <c r="AP235" s="184">
        <v>1929</v>
      </c>
      <c r="AQ235" s="138">
        <v>1042</v>
      </c>
      <c r="AR235" s="109">
        <v>21.75</v>
      </c>
      <c r="AS235" s="144"/>
      <c r="AT235" s="139">
        <v>120</v>
      </c>
      <c r="AU235" s="228">
        <v>4910</v>
      </c>
      <c r="AV235" s="138"/>
      <c r="AW235" s="224">
        <v>4.5141482034685917E-2</v>
      </c>
      <c r="AX235" s="225">
        <v>68.406082485504868</v>
      </c>
      <c r="AY235" s="139">
        <v>-3874.9490835030551</v>
      </c>
      <c r="AZ235" s="144"/>
      <c r="BA235"/>
      <c r="BC235" s="189">
        <v>34.637053359040486</v>
      </c>
      <c r="BD235" s="183">
        <v>1036.2525458248472</v>
      </c>
      <c r="BE235" s="140">
        <v>44.806022003474233</v>
      </c>
      <c r="BF235" s="139">
        <v>8441.5478615071279</v>
      </c>
      <c r="BG235" s="184">
        <v>11083</v>
      </c>
      <c r="BH235" s="216">
        <v>3210</v>
      </c>
      <c r="BI235" s="216">
        <v>36499</v>
      </c>
      <c r="BJ235" s="216">
        <v>-33289</v>
      </c>
      <c r="BK235" s="216">
        <v>15432</v>
      </c>
      <c r="BL235" s="216">
        <v>17922</v>
      </c>
      <c r="BM235" s="151"/>
      <c r="BO235" s="216">
        <v>-48</v>
      </c>
      <c r="BP235" s="216">
        <v>49</v>
      </c>
      <c r="BQ235" s="216">
        <v>66</v>
      </c>
      <c r="BR235" s="216">
        <v>924</v>
      </c>
      <c r="BS235" s="216">
        <v>0</v>
      </c>
      <c r="BT235" s="216">
        <v>0</v>
      </c>
      <c r="BU235" s="216">
        <v>-858</v>
      </c>
      <c r="BV235" s="184">
        <v>10</v>
      </c>
      <c r="BW235" s="183">
        <v>0</v>
      </c>
      <c r="BX235" s="183">
        <v>0</v>
      </c>
      <c r="BY235" s="183">
        <v>-848</v>
      </c>
      <c r="BZ235" s="183">
        <v>2457</v>
      </c>
      <c r="CA235" s="183">
        <v>42</v>
      </c>
      <c r="CB235" s="167"/>
      <c r="CC235" s="183">
        <v>1217</v>
      </c>
      <c r="CD235" s="183">
        <v>-1004</v>
      </c>
      <c r="CE235" s="180">
        <v>-3190</v>
      </c>
      <c r="CF235" s="139">
        <v>15432</v>
      </c>
      <c r="CG235" s="216">
        <v>12439</v>
      </c>
      <c r="CH235" s="216">
        <v>1945</v>
      </c>
      <c r="CI235" s="216">
        <v>1048</v>
      </c>
      <c r="CJ235" s="212">
        <v>21.75</v>
      </c>
      <c r="CK235" s="144"/>
      <c r="CL235" s="130">
        <v>226</v>
      </c>
      <c r="CM235" s="228">
        <v>4834</v>
      </c>
      <c r="CN235" s="138"/>
      <c r="CO235" s="142">
        <v>3.9078341013824884</v>
      </c>
      <c r="CP235" s="142">
        <v>57.44474795132853</v>
      </c>
      <c r="CQ235" s="183">
        <v>-3066.8183698800167</v>
      </c>
      <c r="CR235" s="144"/>
      <c r="CS235"/>
      <c r="CU235" s="232">
        <v>40.958028531849223</v>
      </c>
      <c r="CV235" s="143">
        <v>1468.5560612329334</v>
      </c>
      <c r="CW235" s="146">
        <v>68.750431160285501</v>
      </c>
      <c r="CX235" s="143">
        <v>7796.6487381050893</v>
      </c>
      <c r="CY235" s="131">
        <v>10476</v>
      </c>
      <c r="CZ235" s="229">
        <v>3269</v>
      </c>
      <c r="DA235" s="229">
        <v>36127</v>
      </c>
      <c r="DB235" s="216">
        <v>-32858</v>
      </c>
      <c r="DC235" s="229">
        <v>16084</v>
      </c>
      <c r="DD235" s="229">
        <v>20917</v>
      </c>
      <c r="DE235" s="151"/>
      <c r="DG235" s="229">
        <v>-49</v>
      </c>
      <c r="DH235" s="229">
        <v>77</v>
      </c>
      <c r="DI235" s="229">
        <v>4171</v>
      </c>
      <c r="DJ235" s="229">
        <v>1150</v>
      </c>
      <c r="DK235" s="229">
        <v>0</v>
      </c>
      <c r="DL235" s="229">
        <v>0</v>
      </c>
      <c r="DM235" s="229">
        <v>3021</v>
      </c>
      <c r="DN235" s="131">
        <v>100</v>
      </c>
      <c r="DO235" s="130">
        <v>0</v>
      </c>
      <c r="DP235" s="130">
        <v>0</v>
      </c>
      <c r="DQ235" s="130">
        <v>3121</v>
      </c>
      <c r="DR235" s="130">
        <v>5577</v>
      </c>
      <c r="DS235" s="130">
        <v>4180</v>
      </c>
      <c r="DT235" s="167"/>
      <c r="DU235" s="183">
        <v>-313</v>
      </c>
      <c r="DV235" s="183">
        <v>-1016</v>
      </c>
      <c r="DW235" s="180">
        <v>3970</v>
      </c>
      <c r="DX235" s="130">
        <v>16084</v>
      </c>
      <c r="DY235" s="229">
        <v>12984</v>
      </c>
      <c r="DZ235" s="229">
        <v>2080</v>
      </c>
      <c r="EA235" s="229">
        <v>1020</v>
      </c>
      <c r="EB235" s="212">
        <v>21.75</v>
      </c>
      <c r="EC235" s="208"/>
      <c r="ED235" s="183">
        <v>68.125</v>
      </c>
      <c r="EE235" s="3">
        <v>20947</v>
      </c>
      <c r="EF235" s="183">
        <v>22040</v>
      </c>
      <c r="EG235" s="130">
        <v>22056</v>
      </c>
      <c r="EH235" s="130"/>
      <c r="EI235" s="130"/>
      <c r="EJ235" s="130"/>
      <c r="EK235" s="183">
        <v>-5960</v>
      </c>
      <c r="EL235" s="183">
        <v>1495</v>
      </c>
      <c r="EM235" s="183">
        <v>42</v>
      </c>
      <c r="EN235" s="226">
        <v>-3502</v>
      </c>
      <c r="EO235" s="226">
        <v>247</v>
      </c>
      <c r="EP235" s="226">
        <v>23</v>
      </c>
      <c r="EQ235" s="226">
        <v>-476</v>
      </c>
      <c r="ER235" s="230">
        <v>100</v>
      </c>
      <c r="ES235" s="230">
        <v>166</v>
      </c>
      <c r="ET235" s="3">
        <v>1452</v>
      </c>
      <c r="EU235" s="211">
        <v>3000</v>
      </c>
      <c r="EV235" s="183">
        <v>968</v>
      </c>
      <c r="EW235" s="183">
        <v>1000</v>
      </c>
      <c r="EX235" s="130">
        <v>6000</v>
      </c>
      <c r="EY235" s="183">
        <v>-6000</v>
      </c>
      <c r="EZ235" s="3">
        <v>20890</v>
      </c>
      <c r="FA235" s="3">
        <v>2886</v>
      </c>
      <c r="FB235" s="3">
        <v>18004</v>
      </c>
      <c r="FC235" s="3">
        <v>3244</v>
      </c>
      <c r="FD235" s="226">
        <v>21853</v>
      </c>
      <c r="FE235" s="183">
        <v>2838</v>
      </c>
      <c r="FF235" s="183">
        <v>19015</v>
      </c>
      <c r="FG235" s="183">
        <v>3075</v>
      </c>
      <c r="FH235" s="230">
        <v>20838</v>
      </c>
      <c r="FI235" s="130">
        <v>8223</v>
      </c>
      <c r="FJ235" s="130">
        <v>12615</v>
      </c>
      <c r="FK235" s="130">
        <v>2993</v>
      </c>
      <c r="FL235" s="29">
        <v>6837.1485943775097</v>
      </c>
      <c r="FM235" s="139">
        <v>7050.5091649694505</v>
      </c>
      <c r="FN235" s="139">
        <v>6987.5879189077368</v>
      </c>
      <c r="FO235" s="172">
        <f t="shared" si="9"/>
        <v>596.9655172413793</v>
      </c>
      <c r="FP235" s="170">
        <f t="shared" si="10"/>
        <v>123.49307348808013</v>
      </c>
      <c r="FR235" s="175"/>
      <c r="FS235" s="195"/>
      <c r="FV235" s="175">
        <v>1442</v>
      </c>
      <c r="FW235" s="2">
        <f t="shared" si="11"/>
        <v>-1442</v>
      </c>
      <c r="FZ235" s="186"/>
      <c r="GA235" s="2"/>
      <c r="GB235" s="2"/>
    </row>
    <row r="236" spans="1:184" ht="13" x14ac:dyDescent="0.3">
      <c r="A236" s="77">
        <v>747</v>
      </c>
      <c r="B236" s="75" t="s">
        <v>226</v>
      </c>
      <c r="C236" s="179">
        <v>1458</v>
      </c>
      <c r="D236" s="138"/>
      <c r="E236" s="142">
        <v>6.9844961240310077</v>
      </c>
      <c r="F236" s="142">
        <v>30.029287937030936</v>
      </c>
      <c r="G236" s="183">
        <v>-358.71056241426612</v>
      </c>
      <c r="H236" s="144"/>
      <c r="I236" s="186"/>
      <c r="K236" s="210">
        <v>73.485824742268036</v>
      </c>
      <c r="L236" s="143">
        <v>1356.652949245542</v>
      </c>
      <c r="M236" s="146">
        <v>68.524107820804858</v>
      </c>
      <c r="N236" s="143">
        <v>7226.3374485596714</v>
      </c>
      <c r="O236" s="138">
        <v>2403</v>
      </c>
      <c r="P236" s="143">
        <v>1430</v>
      </c>
      <c r="Q236" s="184">
        <v>10034</v>
      </c>
      <c r="R236" s="184">
        <v>-8604</v>
      </c>
      <c r="S236" s="139">
        <v>4650</v>
      </c>
      <c r="T236" s="138">
        <v>4846</v>
      </c>
      <c r="U236" s="151"/>
      <c r="W236" s="183">
        <v>-16</v>
      </c>
      <c r="X236" s="183">
        <v>9</v>
      </c>
      <c r="Y236" s="184">
        <v>885</v>
      </c>
      <c r="Z236" s="130">
        <v>493</v>
      </c>
      <c r="AA236" s="131">
        <v>0</v>
      </c>
      <c r="AB236" s="131">
        <v>0</v>
      </c>
      <c r="AC236" s="184">
        <v>392</v>
      </c>
      <c r="AD236" s="183">
        <v>0</v>
      </c>
      <c r="AE236" s="184">
        <v>0</v>
      </c>
      <c r="AF236" s="184">
        <v>0</v>
      </c>
      <c r="AG236" s="183">
        <v>392</v>
      </c>
      <c r="AH236" s="183">
        <v>2181</v>
      </c>
      <c r="AI236" s="183">
        <v>875</v>
      </c>
      <c r="AJ236" s="167"/>
      <c r="AK236" s="183">
        <v>-165</v>
      </c>
      <c r="AL236" s="183">
        <v>-113</v>
      </c>
      <c r="AM236" s="180">
        <v>554</v>
      </c>
      <c r="AN236" s="139">
        <v>4650</v>
      </c>
      <c r="AO236" s="138">
        <v>3324</v>
      </c>
      <c r="AP236" s="184">
        <v>571</v>
      </c>
      <c r="AQ236" s="138">
        <v>755</v>
      </c>
      <c r="AR236" s="109">
        <v>21</v>
      </c>
      <c r="AS236" s="144"/>
      <c r="AT236" s="139">
        <v>21</v>
      </c>
      <c r="AU236" s="228">
        <v>1437</v>
      </c>
      <c r="AV236" s="138"/>
      <c r="AW236" s="224">
        <v>5.2347684809098292</v>
      </c>
      <c r="AX236" s="225">
        <v>27.666192676857449</v>
      </c>
      <c r="AY236" s="139">
        <v>642.3103688239388</v>
      </c>
      <c r="AZ236" s="144"/>
      <c r="BA236"/>
      <c r="BC236" s="189">
        <v>76.305522208883559</v>
      </c>
      <c r="BD236" s="183">
        <v>2310.3688239387611</v>
      </c>
      <c r="BE236" s="140">
        <v>121.69110263105041</v>
      </c>
      <c r="BF236" s="139">
        <v>6929.7146833681281</v>
      </c>
      <c r="BG236" s="184">
        <v>2535</v>
      </c>
      <c r="BH236" s="216">
        <v>1417</v>
      </c>
      <c r="BI236" s="216">
        <v>9650</v>
      </c>
      <c r="BJ236" s="216">
        <v>-8233</v>
      </c>
      <c r="BK236" s="216">
        <v>4785</v>
      </c>
      <c r="BL236" s="216">
        <v>5050</v>
      </c>
      <c r="BM236" s="151"/>
      <c r="BO236" s="216">
        <v>-15</v>
      </c>
      <c r="BP236" s="216">
        <v>9</v>
      </c>
      <c r="BQ236" s="216">
        <v>1596</v>
      </c>
      <c r="BR236" s="216">
        <v>537</v>
      </c>
      <c r="BS236" s="216">
        <v>0</v>
      </c>
      <c r="BT236" s="216">
        <v>0</v>
      </c>
      <c r="BU236" s="216">
        <v>1059</v>
      </c>
      <c r="BV236" s="183">
        <v>0</v>
      </c>
      <c r="BW236" s="184">
        <v>0</v>
      </c>
      <c r="BX236" s="184">
        <v>0</v>
      </c>
      <c r="BY236" s="183">
        <v>1059</v>
      </c>
      <c r="BZ236" s="183">
        <v>3227</v>
      </c>
      <c r="CA236" s="183">
        <v>1636</v>
      </c>
      <c r="CB236" s="167"/>
      <c r="CC236" s="183">
        <v>65</v>
      </c>
      <c r="CD236" s="183">
        <v>-113</v>
      </c>
      <c r="CE236" s="180">
        <v>1459</v>
      </c>
      <c r="CF236" s="139">
        <v>4785</v>
      </c>
      <c r="CG236" s="216">
        <v>3403</v>
      </c>
      <c r="CH236" s="216">
        <v>613</v>
      </c>
      <c r="CI236" s="216">
        <v>769</v>
      </c>
      <c r="CJ236" s="212">
        <v>22</v>
      </c>
      <c r="CK236" s="144"/>
      <c r="CL236" s="130">
        <v>6</v>
      </c>
      <c r="CM236" s="228">
        <v>1385</v>
      </c>
      <c r="CN236" s="138"/>
      <c r="CO236" s="142">
        <v>17.86904761904762</v>
      </c>
      <c r="CP236" s="142">
        <v>24.946749595296925</v>
      </c>
      <c r="CQ236" s="183">
        <v>1485.1985559566788</v>
      </c>
      <c r="CR236" s="144"/>
      <c r="CS236"/>
      <c r="CU236" s="232">
        <v>79.098214920702659</v>
      </c>
      <c r="CV236" s="143">
        <v>3129.9638989169675</v>
      </c>
      <c r="CW236" s="146">
        <v>147.82090807174887</v>
      </c>
      <c r="CX236" s="143">
        <v>7728.5198555956677</v>
      </c>
      <c r="CY236" s="131">
        <v>2487</v>
      </c>
      <c r="CZ236" s="229">
        <v>1380</v>
      </c>
      <c r="DA236" s="229">
        <v>10243</v>
      </c>
      <c r="DB236" s="216">
        <v>-8863</v>
      </c>
      <c r="DC236" s="229">
        <v>4814</v>
      </c>
      <c r="DD236" s="229">
        <v>5543</v>
      </c>
      <c r="DE236" s="151"/>
      <c r="DG236" s="229">
        <v>-12</v>
      </c>
      <c r="DH236" s="229">
        <v>7</v>
      </c>
      <c r="DI236" s="229">
        <v>1489</v>
      </c>
      <c r="DJ236" s="229">
        <v>550</v>
      </c>
      <c r="DK236" s="229">
        <v>0</v>
      </c>
      <c r="DL236" s="229">
        <v>0</v>
      </c>
      <c r="DM236" s="229">
        <v>939</v>
      </c>
      <c r="DN236" s="130">
        <v>0</v>
      </c>
      <c r="DO236" s="131">
        <v>0</v>
      </c>
      <c r="DP236" s="131">
        <v>0</v>
      </c>
      <c r="DQ236" s="130">
        <v>939</v>
      </c>
      <c r="DR236" s="130">
        <v>4179</v>
      </c>
      <c r="DS236" s="130">
        <v>1445</v>
      </c>
      <c r="DT236" s="167"/>
      <c r="DU236" s="183">
        <v>66</v>
      </c>
      <c r="DV236" s="183">
        <v>-72</v>
      </c>
      <c r="DW236" s="180">
        <v>1131</v>
      </c>
      <c r="DX236" s="130">
        <v>4814</v>
      </c>
      <c r="DY236" s="229">
        <v>3463</v>
      </c>
      <c r="DZ236" s="229">
        <v>681</v>
      </c>
      <c r="EA236" s="229">
        <v>670</v>
      </c>
      <c r="EB236" s="212">
        <v>22</v>
      </c>
      <c r="EC236" s="208"/>
      <c r="ED236" s="183">
        <v>20.779411764705898</v>
      </c>
      <c r="EE236" s="3">
        <v>6791</v>
      </c>
      <c r="EF236" s="183">
        <v>6276</v>
      </c>
      <c r="EG236" s="130">
        <v>6783</v>
      </c>
      <c r="EH236" s="130"/>
      <c r="EI236" s="130"/>
      <c r="EJ236" s="130"/>
      <c r="EK236" s="183">
        <v>-371</v>
      </c>
      <c r="EL236" s="183">
        <v>38</v>
      </c>
      <c r="EM236" s="183">
        <v>12</v>
      </c>
      <c r="EN236" s="226">
        <v>-178</v>
      </c>
      <c r="EO236" s="226">
        <v>0</v>
      </c>
      <c r="EP236" s="226">
        <v>1</v>
      </c>
      <c r="EQ236" s="226">
        <v>-363</v>
      </c>
      <c r="ER236" s="230">
        <v>0</v>
      </c>
      <c r="ES236" s="230">
        <v>49</v>
      </c>
      <c r="ET236" s="3">
        <v>0</v>
      </c>
      <c r="EU236" s="211">
        <v>0</v>
      </c>
      <c r="EV236" s="183">
        <v>0</v>
      </c>
      <c r="EW236" s="183">
        <v>0</v>
      </c>
      <c r="EX236" s="130">
        <v>72</v>
      </c>
      <c r="EY236" s="183">
        <v>-370</v>
      </c>
      <c r="EZ236" s="3">
        <v>2013</v>
      </c>
      <c r="FA236" s="3">
        <v>1900</v>
      </c>
      <c r="FB236" s="3">
        <v>113</v>
      </c>
      <c r="FC236" s="3">
        <v>0</v>
      </c>
      <c r="FD236" s="226">
        <v>1900</v>
      </c>
      <c r="FE236" s="183">
        <v>1530</v>
      </c>
      <c r="FF236" s="183">
        <v>370</v>
      </c>
      <c r="FG236" s="183">
        <v>0</v>
      </c>
      <c r="FH236" s="230">
        <v>1530</v>
      </c>
      <c r="FI236" s="130">
        <v>1420</v>
      </c>
      <c r="FJ236" s="130">
        <v>110</v>
      </c>
      <c r="FK236" s="130">
        <v>0</v>
      </c>
      <c r="FL236" s="29">
        <v>1648.8340192043895</v>
      </c>
      <c r="FM236" s="139">
        <v>1637.4391092553933</v>
      </c>
      <c r="FN236" s="139">
        <v>1444.043321299639</v>
      </c>
      <c r="FO236" s="172">
        <f t="shared" si="9"/>
        <v>157.40909090909091</v>
      </c>
      <c r="FP236" s="170">
        <f t="shared" si="10"/>
        <v>113.65277321956022</v>
      </c>
      <c r="FR236" s="175"/>
      <c r="FS236" s="195"/>
      <c r="FV236" s="175">
        <v>1</v>
      </c>
      <c r="FW236" s="2">
        <f t="shared" si="11"/>
        <v>-1</v>
      </c>
      <c r="FZ236" s="186"/>
      <c r="GA236" s="2"/>
      <c r="GB236" s="2"/>
    </row>
    <row r="237" spans="1:184" ht="13" x14ac:dyDescent="0.3">
      <c r="A237" s="77">
        <v>748</v>
      </c>
      <c r="B237" s="75" t="s">
        <v>227</v>
      </c>
      <c r="C237" s="179">
        <v>5249</v>
      </c>
      <c r="D237" s="138"/>
      <c r="E237" s="142">
        <v>0.80740343347639487</v>
      </c>
      <c r="F237" s="142">
        <v>48.900069581972915</v>
      </c>
      <c r="G237" s="183">
        <v>-2342.1604115069536</v>
      </c>
      <c r="H237" s="144"/>
      <c r="I237" s="186"/>
      <c r="K237" s="210">
        <v>53.096984515077423</v>
      </c>
      <c r="L237" s="143">
        <v>845.11335492474757</v>
      </c>
      <c r="M237" s="146">
        <v>42.480388298570112</v>
      </c>
      <c r="N237" s="143">
        <v>7261.3831205943989</v>
      </c>
      <c r="O237" s="138">
        <v>11322</v>
      </c>
      <c r="P237" s="143">
        <v>3089</v>
      </c>
      <c r="Q237" s="184">
        <v>35857</v>
      </c>
      <c r="R237" s="184">
        <v>-32768</v>
      </c>
      <c r="S237" s="139">
        <v>16343</v>
      </c>
      <c r="T237" s="138">
        <v>17934</v>
      </c>
      <c r="U237" s="151"/>
      <c r="W237" s="183">
        <v>-85</v>
      </c>
      <c r="X237" s="183">
        <v>-25</v>
      </c>
      <c r="Y237" s="184">
        <v>1399</v>
      </c>
      <c r="Z237" s="130">
        <v>1278</v>
      </c>
      <c r="AA237" s="130">
        <v>0</v>
      </c>
      <c r="AB237" s="130">
        <v>0</v>
      </c>
      <c r="AC237" s="184">
        <v>121</v>
      </c>
      <c r="AD237" s="184">
        <v>0</v>
      </c>
      <c r="AE237" s="183">
        <v>57</v>
      </c>
      <c r="AF237" s="183">
        <v>0</v>
      </c>
      <c r="AG237" s="183">
        <v>178</v>
      </c>
      <c r="AH237" s="183">
        <v>5620</v>
      </c>
      <c r="AI237" s="183">
        <v>1261</v>
      </c>
      <c r="AJ237" s="167"/>
      <c r="AK237" s="183">
        <v>175</v>
      </c>
      <c r="AL237" s="183">
        <v>-1758</v>
      </c>
      <c r="AM237" s="180">
        <v>1202</v>
      </c>
      <c r="AN237" s="139">
        <v>16343</v>
      </c>
      <c r="AO237" s="138">
        <v>14183</v>
      </c>
      <c r="AP237" s="184">
        <v>835</v>
      </c>
      <c r="AQ237" s="138">
        <v>1325</v>
      </c>
      <c r="AR237" s="109">
        <v>22</v>
      </c>
      <c r="AS237" s="144"/>
      <c r="AT237" s="139">
        <v>129</v>
      </c>
      <c r="AU237" s="228">
        <v>5145</v>
      </c>
      <c r="AV237" s="138"/>
      <c r="AW237" s="224">
        <v>1.4156618523916789</v>
      </c>
      <c r="AX237" s="225">
        <v>42.694890357779876</v>
      </c>
      <c r="AY237" s="139">
        <v>-2057.1428571428573</v>
      </c>
      <c r="AZ237" s="144"/>
      <c r="BA237"/>
      <c r="BC237" s="189">
        <v>57.416677473738815</v>
      </c>
      <c r="BD237" s="183">
        <v>752.9640427599611</v>
      </c>
      <c r="BE237" s="140">
        <v>36.691317660490945</v>
      </c>
      <c r="BF237" s="139">
        <v>7490.3790087463558</v>
      </c>
      <c r="BG237" s="184">
        <v>11559</v>
      </c>
      <c r="BH237" s="216">
        <v>3027</v>
      </c>
      <c r="BI237" s="216">
        <v>35599</v>
      </c>
      <c r="BJ237" s="216">
        <v>-32572</v>
      </c>
      <c r="BK237" s="216">
        <v>17344</v>
      </c>
      <c r="BL237" s="216">
        <v>17753</v>
      </c>
      <c r="BM237" s="151"/>
      <c r="BO237" s="216">
        <v>-49</v>
      </c>
      <c r="BP237" s="216">
        <v>102</v>
      </c>
      <c r="BQ237" s="216">
        <v>2578</v>
      </c>
      <c r="BR237" s="216">
        <v>1289</v>
      </c>
      <c r="BS237" s="216">
        <v>0</v>
      </c>
      <c r="BT237" s="216">
        <v>0</v>
      </c>
      <c r="BU237" s="216">
        <v>1289</v>
      </c>
      <c r="BV237" s="184">
        <v>0</v>
      </c>
      <c r="BW237" s="183">
        <v>57</v>
      </c>
      <c r="BX237" s="183">
        <v>0</v>
      </c>
      <c r="BY237" s="183">
        <v>1346</v>
      </c>
      <c r="BZ237" s="183">
        <v>6965</v>
      </c>
      <c r="CA237" s="183">
        <v>2576</v>
      </c>
      <c r="CB237" s="167"/>
      <c r="CC237" s="183">
        <v>-277</v>
      </c>
      <c r="CD237" s="183">
        <v>-1693</v>
      </c>
      <c r="CE237" s="180">
        <v>1444</v>
      </c>
      <c r="CF237" s="139">
        <v>17344</v>
      </c>
      <c r="CG237" s="216">
        <v>14995</v>
      </c>
      <c r="CH237" s="216">
        <v>938</v>
      </c>
      <c r="CI237" s="216">
        <v>1411</v>
      </c>
      <c r="CJ237" s="212">
        <v>22</v>
      </c>
      <c r="CK237" s="144"/>
      <c r="CL237" s="130">
        <v>33</v>
      </c>
      <c r="CM237" s="228">
        <v>5034</v>
      </c>
      <c r="CN237" s="138"/>
      <c r="CO237" s="142">
        <v>2.5376470588235294</v>
      </c>
      <c r="CP237" s="142">
        <v>36.145654925906619</v>
      </c>
      <c r="CQ237" s="183">
        <v>-1275.5264203416766</v>
      </c>
      <c r="CR237" s="144"/>
      <c r="CS237"/>
      <c r="CU237" s="232">
        <v>62.59000153194097</v>
      </c>
      <c r="CV237" s="143">
        <v>1416.7659912594359</v>
      </c>
      <c r="CW237" s="146">
        <v>68.330314722944067</v>
      </c>
      <c r="CX237" s="143">
        <v>7567.9380214541125</v>
      </c>
      <c r="CY237" s="131">
        <v>11316</v>
      </c>
      <c r="CZ237" s="229">
        <v>3158</v>
      </c>
      <c r="DA237" s="229">
        <v>36002</v>
      </c>
      <c r="DB237" s="216">
        <v>-32844</v>
      </c>
      <c r="DC237" s="229">
        <v>17370</v>
      </c>
      <c r="DD237" s="229">
        <v>19759</v>
      </c>
      <c r="DE237" s="151"/>
      <c r="DG237" s="229">
        <v>-47</v>
      </c>
      <c r="DH237" s="229">
        <v>-1</v>
      </c>
      <c r="DI237" s="229">
        <v>4237</v>
      </c>
      <c r="DJ237" s="229">
        <v>1860</v>
      </c>
      <c r="DK237" s="229">
        <v>0</v>
      </c>
      <c r="DL237" s="229">
        <v>0</v>
      </c>
      <c r="DM237" s="229">
        <v>2377</v>
      </c>
      <c r="DN237" s="131">
        <v>0</v>
      </c>
      <c r="DO237" s="130">
        <v>57</v>
      </c>
      <c r="DP237" s="130">
        <v>-1200</v>
      </c>
      <c r="DQ237" s="130">
        <v>1234</v>
      </c>
      <c r="DR237" s="130">
        <v>8200</v>
      </c>
      <c r="DS237" s="130">
        <v>4189</v>
      </c>
      <c r="DT237" s="167"/>
      <c r="DU237" s="183">
        <v>811</v>
      </c>
      <c r="DV237" s="183">
        <v>-1623</v>
      </c>
      <c r="DW237" s="180">
        <v>3907</v>
      </c>
      <c r="DX237" s="130">
        <v>17370</v>
      </c>
      <c r="DY237" s="229">
        <v>14966</v>
      </c>
      <c r="DZ237" s="229">
        <v>1112</v>
      </c>
      <c r="EA237" s="229">
        <v>1292</v>
      </c>
      <c r="EB237" s="212">
        <v>22</v>
      </c>
      <c r="EC237" s="208"/>
      <c r="ED237" s="183">
        <v>74.169117647058897</v>
      </c>
      <c r="EE237" s="3">
        <v>21425</v>
      </c>
      <c r="EF237" s="183">
        <v>20866</v>
      </c>
      <c r="EG237" s="130">
        <v>21678</v>
      </c>
      <c r="EH237" s="130"/>
      <c r="EI237" s="130"/>
      <c r="EJ237" s="130"/>
      <c r="EK237" s="183">
        <v>-301</v>
      </c>
      <c r="EL237" s="183">
        <v>0</v>
      </c>
      <c r="EM237" s="183">
        <v>242</v>
      </c>
      <c r="EN237" s="226">
        <v>-1133</v>
      </c>
      <c r="EO237" s="226">
        <v>0</v>
      </c>
      <c r="EP237" s="226">
        <v>1</v>
      </c>
      <c r="EQ237" s="226">
        <v>-314</v>
      </c>
      <c r="ER237" s="230">
        <v>0</v>
      </c>
      <c r="ES237" s="230">
        <v>32</v>
      </c>
      <c r="ET237" s="3">
        <v>0</v>
      </c>
      <c r="EU237" s="211">
        <v>-200</v>
      </c>
      <c r="EV237" s="183">
        <v>0</v>
      </c>
      <c r="EW237" s="183">
        <v>200</v>
      </c>
      <c r="EX237" s="130">
        <v>0</v>
      </c>
      <c r="EY237" s="183">
        <v>-200</v>
      </c>
      <c r="EZ237" s="3">
        <v>14793</v>
      </c>
      <c r="FA237" s="3">
        <v>9600</v>
      </c>
      <c r="FB237" s="3">
        <v>5193</v>
      </c>
      <c r="FC237" s="3">
        <v>2350</v>
      </c>
      <c r="FD237" s="226">
        <v>13301</v>
      </c>
      <c r="FE237" s="183">
        <v>7978</v>
      </c>
      <c r="FF237" s="183">
        <v>5323</v>
      </c>
      <c r="FG237" s="183">
        <v>2087</v>
      </c>
      <c r="FH237" s="230">
        <v>11478</v>
      </c>
      <c r="FI237" s="130">
        <v>6492</v>
      </c>
      <c r="FJ237" s="130">
        <v>4986</v>
      </c>
      <c r="FK237" s="130">
        <v>1830</v>
      </c>
      <c r="FL237" s="29">
        <v>4427.7005143836923</v>
      </c>
      <c r="FM237" s="139">
        <v>4432.8474246841597</v>
      </c>
      <c r="FN237" s="139">
        <v>4573.3015494636466</v>
      </c>
      <c r="FO237" s="172">
        <f t="shared" si="9"/>
        <v>680.27272727272725</v>
      </c>
      <c r="FP237" s="170">
        <f t="shared" si="10"/>
        <v>135.13562321667209</v>
      </c>
      <c r="FR237" s="175"/>
      <c r="FS237" s="195"/>
      <c r="FV237" s="175">
        <v>813</v>
      </c>
      <c r="FW237" s="2">
        <f t="shared" si="11"/>
        <v>-813</v>
      </c>
      <c r="FZ237" s="186"/>
      <c r="GA237" s="2"/>
      <c r="GB237" s="2"/>
    </row>
    <row r="238" spans="1:184" ht="13" x14ac:dyDescent="0.3">
      <c r="A238" s="174">
        <v>791</v>
      </c>
      <c r="B238" s="81" t="s">
        <v>366</v>
      </c>
      <c r="C238" s="179">
        <v>5301</v>
      </c>
      <c r="D238" s="138"/>
      <c r="E238" s="142">
        <v>0.40768146582100068</v>
      </c>
      <c r="F238" s="142">
        <v>40.017823326278268</v>
      </c>
      <c r="G238" s="183">
        <v>-2705.9045463120165</v>
      </c>
      <c r="H238" s="144"/>
      <c r="I238" s="186"/>
      <c r="K238" s="210">
        <v>48.751098636273426</v>
      </c>
      <c r="L238" s="143">
        <v>2.6410111299754764</v>
      </c>
      <c r="M238" s="146">
        <v>0.10667167668670675</v>
      </c>
      <c r="N238" s="143">
        <v>9036.7855121675148</v>
      </c>
      <c r="O238" s="138">
        <v>11578</v>
      </c>
      <c r="P238" s="143">
        <v>6371</v>
      </c>
      <c r="Q238" s="184">
        <v>43824</v>
      </c>
      <c r="R238" s="184">
        <v>-37453</v>
      </c>
      <c r="S238" s="139">
        <v>16013</v>
      </c>
      <c r="T238" s="138">
        <v>22501</v>
      </c>
      <c r="U238" s="151"/>
      <c r="W238" s="183">
        <v>33</v>
      </c>
      <c r="X238" s="183">
        <v>42</v>
      </c>
      <c r="Y238" s="184">
        <v>1136</v>
      </c>
      <c r="Z238" s="130">
        <v>1305</v>
      </c>
      <c r="AA238" s="130">
        <v>0</v>
      </c>
      <c r="AB238" s="130">
        <v>0</v>
      </c>
      <c r="AC238" s="184">
        <v>-169</v>
      </c>
      <c r="AD238" s="184">
        <v>103</v>
      </c>
      <c r="AE238" s="183">
        <v>0</v>
      </c>
      <c r="AF238" s="184">
        <v>0</v>
      </c>
      <c r="AG238" s="183">
        <v>-66</v>
      </c>
      <c r="AH238" s="183">
        <v>1129</v>
      </c>
      <c r="AI238" s="183">
        <v>1177</v>
      </c>
      <c r="AJ238" s="167"/>
      <c r="AK238" s="183">
        <v>996</v>
      </c>
      <c r="AL238" s="183">
        <v>-2817</v>
      </c>
      <c r="AM238" s="180">
        <v>601</v>
      </c>
      <c r="AN238" s="139">
        <v>16013</v>
      </c>
      <c r="AO238" s="138">
        <v>13526</v>
      </c>
      <c r="AP238" s="184">
        <v>1147</v>
      </c>
      <c r="AQ238" s="138">
        <v>1340</v>
      </c>
      <c r="AR238" s="109">
        <v>22</v>
      </c>
      <c r="AS238" s="144"/>
      <c r="AT238" s="139">
        <v>159</v>
      </c>
      <c r="AU238" s="228">
        <v>5231</v>
      </c>
      <c r="AV238" s="138"/>
      <c r="AW238" s="224">
        <v>0.37600695450594029</v>
      </c>
      <c r="AX238" s="225">
        <v>41.936340109270276</v>
      </c>
      <c r="AY238" s="139">
        <v>-2677.308354043204</v>
      </c>
      <c r="AZ238" s="144"/>
      <c r="BA238"/>
      <c r="BC238" s="189">
        <v>46.78827434245391</v>
      </c>
      <c r="BD238" s="183">
        <v>185.24182756643091</v>
      </c>
      <c r="BE238" s="140">
        <v>7.652372400960644</v>
      </c>
      <c r="BF238" s="139">
        <v>8835.5954884343337</v>
      </c>
      <c r="BG238" s="184">
        <v>11611</v>
      </c>
      <c r="BH238" s="216">
        <v>6421</v>
      </c>
      <c r="BI238" s="216">
        <v>44503</v>
      </c>
      <c r="BJ238" s="216">
        <v>-38082</v>
      </c>
      <c r="BK238" s="216">
        <v>16284</v>
      </c>
      <c r="BL238" s="216">
        <v>22504</v>
      </c>
      <c r="BM238" s="151"/>
      <c r="BO238" s="216">
        <v>54</v>
      </c>
      <c r="BP238" s="216">
        <v>32</v>
      </c>
      <c r="BQ238" s="216">
        <v>792</v>
      </c>
      <c r="BR238" s="216">
        <v>1212</v>
      </c>
      <c r="BS238" s="216">
        <v>0</v>
      </c>
      <c r="BT238" s="216">
        <v>0</v>
      </c>
      <c r="BU238" s="216">
        <v>-420</v>
      </c>
      <c r="BV238" s="184">
        <v>100</v>
      </c>
      <c r="BW238" s="183">
        <v>0</v>
      </c>
      <c r="BX238" s="184">
        <v>0</v>
      </c>
      <c r="BY238" s="183">
        <v>-320</v>
      </c>
      <c r="BZ238" s="183">
        <v>809</v>
      </c>
      <c r="CA238" s="183">
        <v>779</v>
      </c>
      <c r="CB238" s="167"/>
      <c r="CC238" s="183">
        <v>-381</v>
      </c>
      <c r="CD238" s="183">
        <v>-1022</v>
      </c>
      <c r="CE238" s="180">
        <v>145</v>
      </c>
      <c r="CF238" s="139">
        <v>16284</v>
      </c>
      <c r="CG238" s="216">
        <v>13739</v>
      </c>
      <c r="CH238" s="216">
        <v>1159</v>
      </c>
      <c r="CI238" s="216">
        <v>1386</v>
      </c>
      <c r="CJ238" s="212">
        <v>22</v>
      </c>
      <c r="CK238" s="144"/>
      <c r="CL238" s="130">
        <v>154</v>
      </c>
      <c r="CM238" s="228">
        <v>5203</v>
      </c>
      <c r="CN238" s="138"/>
      <c r="CO238" s="142">
        <v>0.47051744885679903</v>
      </c>
      <c r="CP238" s="142">
        <v>44.905008635578582</v>
      </c>
      <c r="CQ238" s="183">
        <v>-2947.1458773784357</v>
      </c>
      <c r="CR238" s="144"/>
      <c r="CS238"/>
      <c r="CU238" s="232">
        <v>40.525234578868471</v>
      </c>
      <c r="CV238" s="143">
        <v>463.19431097443783</v>
      </c>
      <c r="CW238" s="146">
        <v>16.984283286994131</v>
      </c>
      <c r="CX238" s="143">
        <v>9954.257159331155</v>
      </c>
      <c r="CY238" s="131">
        <v>11075</v>
      </c>
      <c r="CZ238" s="229">
        <v>6305</v>
      </c>
      <c r="DA238" s="229">
        <v>45312</v>
      </c>
      <c r="DB238" s="216">
        <v>-39007</v>
      </c>
      <c r="DC238" s="229">
        <v>16582</v>
      </c>
      <c r="DD238" s="229">
        <v>24591</v>
      </c>
      <c r="DE238" s="151"/>
      <c r="DG238" s="229">
        <v>0</v>
      </c>
      <c r="DH238" s="229">
        <v>-1815</v>
      </c>
      <c r="DI238" s="229">
        <v>351</v>
      </c>
      <c r="DJ238" s="229">
        <v>2529</v>
      </c>
      <c r="DK238" s="229">
        <v>0</v>
      </c>
      <c r="DL238" s="229">
        <v>0</v>
      </c>
      <c r="DM238" s="229">
        <v>-2178</v>
      </c>
      <c r="DN238" s="131">
        <v>82</v>
      </c>
      <c r="DO238" s="130">
        <v>0</v>
      </c>
      <c r="DP238" s="131">
        <v>0</v>
      </c>
      <c r="DQ238" s="130">
        <v>-2096</v>
      </c>
      <c r="DR238" s="130">
        <v>-1286</v>
      </c>
      <c r="DS238" s="130">
        <v>322</v>
      </c>
      <c r="DT238" s="167"/>
      <c r="DU238" s="183">
        <v>409</v>
      </c>
      <c r="DV238" s="183">
        <v>-791</v>
      </c>
      <c r="DW238" s="180">
        <v>-1476</v>
      </c>
      <c r="DX238" s="130">
        <v>16582</v>
      </c>
      <c r="DY238" s="229">
        <v>13932</v>
      </c>
      <c r="DZ238" s="229">
        <v>1400</v>
      </c>
      <c r="EA238" s="229">
        <v>1250</v>
      </c>
      <c r="EB238" s="212">
        <v>22</v>
      </c>
      <c r="EC238" s="208"/>
      <c r="ED238" s="183">
        <v>291.75735294117601</v>
      </c>
      <c r="EE238" s="3">
        <v>28994</v>
      </c>
      <c r="EF238" s="183">
        <v>29560</v>
      </c>
      <c r="EG238" s="130">
        <v>29526</v>
      </c>
      <c r="EH238" s="130"/>
      <c r="EI238" s="130"/>
      <c r="EJ238" s="130"/>
      <c r="EK238" s="183">
        <v>-627</v>
      </c>
      <c r="EL238" s="183">
        <v>0</v>
      </c>
      <c r="EM238" s="183">
        <v>51</v>
      </c>
      <c r="EN238" s="226">
        <v>-659</v>
      </c>
      <c r="EO238" s="226">
        <v>0</v>
      </c>
      <c r="EP238" s="226">
        <v>25</v>
      </c>
      <c r="EQ238" s="226">
        <v>-2037</v>
      </c>
      <c r="ER238" s="230">
        <v>70</v>
      </c>
      <c r="ES238" s="230">
        <v>169</v>
      </c>
      <c r="ET238" s="3">
        <v>1061</v>
      </c>
      <c r="EU238" s="211">
        <v>0</v>
      </c>
      <c r="EV238" s="183">
        <v>1154</v>
      </c>
      <c r="EW238" s="183">
        <v>1500</v>
      </c>
      <c r="EX238" s="130">
        <v>535</v>
      </c>
      <c r="EY238" s="183">
        <v>2000</v>
      </c>
      <c r="EZ238" s="3">
        <v>14594</v>
      </c>
      <c r="FA238" s="3">
        <v>4573</v>
      </c>
      <c r="FB238" s="3">
        <v>10021</v>
      </c>
      <c r="FC238" s="3">
        <v>2380</v>
      </c>
      <c r="FD238" s="226">
        <v>16226</v>
      </c>
      <c r="FE238" s="183">
        <v>4935</v>
      </c>
      <c r="FF238" s="183">
        <v>11291</v>
      </c>
      <c r="FG238" s="183">
        <v>2180</v>
      </c>
      <c r="FH238" s="230">
        <v>17971</v>
      </c>
      <c r="FI238" s="130">
        <v>4874</v>
      </c>
      <c r="FJ238" s="130">
        <v>13097</v>
      </c>
      <c r="FK238" s="130">
        <v>2038</v>
      </c>
      <c r="FL238" s="29">
        <v>5967.5532918317303</v>
      </c>
      <c r="FM238" s="139">
        <v>6536.9910151022741</v>
      </c>
      <c r="FN238" s="139">
        <v>7139.3426869113973</v>
      </c>
      <c r="FO238" s="172">
        <f t="shared" si="9"/>
        <v>633.27272727272725</v>
      </c>
      <c r="FP238" s="170">
        <f t="shared" si="10"/>
        <v>121.71299774605559</v>
      </c>
      <c r="FR238" s="175"/>
      <c r="FS238" s="195"/>
      <c r="FV238" s="175">
        <v>2054</v>
      </c>
      <c r="FW238" s="2">
        <f t="shared" si="11"/>
        <v>-2054</v>
      </c>
      <c r="FZ238" s="186"/>
      <c r="GA238" s="2"/>
      <c r="GB238" s="2"/>
    </row>
    <row r="239" spans="1:184" ht="13" x14ac:dyDescent="0.3">
      <c r="A239" s="77">
        <v>749</v>
      </c>
      <c r="B239" s="75" t="s">
        <v>228</v>
      </c>
      <c r="C239" s="179">
        <v>21674</v>
      </c>
      <c r="D239" s="138"/>
      <c r="E239" s="142">
        <v>0.34133656929877787</v>
      </c>
      <c r="F239" s="142">
        <v>64.517686142837874</v>
      </c>
      <c r="G239" s="183">
        <v>-3724.3702131586233</v>
      </c>
      <c r="H239" s="144"/>
      <c r="I239" s="186"/>
      <c r="K239" s="210">
        <v>41.502633945779266</v>
      </c>
      <c r="L239" s="143">
        <v>217.95699916951187</v>
      </c>
      <c r="M239" s="146">
        <v>10.525332682212184</v>
      </c>
      <c r="N239" s="143">
        <v>7558.3648611239269</v>
      </c>
      <c r="O239" s="138">
        <v>60491</v>
      </c>
      <c r="P239" s="143">
        <v>22700</v>
      </c>
      <c r="Q239" s="184">
        <v>137829</v>
      </c>
      <c r="R239" s="184">
        <v>-115129</v>
      </c>
      <c r="S239" s="139">
        <v>85196</v>
      </c>
      <c r="T239" s="138">
        <v>33139</v>
      </c>
      <c r="U239" s="151"/>
      <c r="W239" s="183">
        <v>-634</v>
      </c>
      <c r="X239" s="183">
        <v>713</v>
      </c>
      <c r="Y239" s="184">
        <v>3285</v>
      </c>
      <c r="Z239" s="130">
        <v>7787</v>
      </c>
      <c r="AA239" s="130">
        <v>0</v>
      </c>
      <c r="AB239" s="130">
        <v>0</v>
      </c>
      <c r="AC239" s="184">
        <v>-4502</v>
      </c>
      <c r="AD239" s="183">
        <v>0</v>
      </c>
      <c r="AE239" s="183">
        <v>0</v>
      </c>
      <c r="AF239" s="183">
        <v>37</v>
      </c>
      <c r="AG239" s="183">
        <v>-4465</v>
      </c>
      <c r="AH239" s="183">
        <v>1721</v>
      </c>
      <c r="AI239" s="183">
        <v>1802</v>
      </c>
      <c r="AJ239" s="167"/>
      <c r="AK239" s="183">
        <v>106</v>
      </c>
      <c r="AL239" s="183">
        <v>-10884</v>
      </c>
      <c r="AM239" s="180">
        <v>-10157</v>
      </c>
      <c r="AN239" s="139">
        <v>85196</v>
      </c>
      <c r="AO239" s="138">
        <v>75908</v>
      </c>
      <c r="AP239" s="184">
        <v>3965</v>
      </c>
      <c r="AQ239" s="138">
        <v>5323</v>
      </c>
      <c r="AR239" s="109">
        <v>21.25</v>
      </c>
      <c r="AS239" s="144"/>
      <c r="AT239" s="139">
        <v>195</v>
      </c>
      <c r="AU239" s="228">
        <v>21423</v>
      </c>
      <c r="AV239" s="138"/>
      <c r="AW239" s="224">
        <v>-0.15603485790160787</v>
      </c>
      <c r="AX239" s="225">
        <v>67.488693876972363</v>
      </c>
      <c r="AY239" s="139">
        <v>-3912.5706016897725</v>
      </c>
      <c r="AZ239" s="144"/>
      <c r="BA239"/>
      <c r="BC239" s="189">
        <v>41.39671418806757</v>
      </c>
      <c r="BD239" s="183">
        <v>280.53960696447746</v>
      </c>
      <c r="BE239" s="140">
        <v>11.400085228453831</v>
      </c>
      <c r="BF239" s="139">
        <v>8982.1220183914484</v>
      </c>
      <c r="BG239" s="184">
        <v>61344</v>
      </c>
      <c r="BH239" s="216">
        <v>22543</v>
      </c>
      <c r="BI239" s="216">
        <v>143705</v>
      </c>
      <c r="BJ239" s="216">
        <v>-121021</v>
      </c>
      <c r="BK239" s="216">
        <v>85236</v>
      </c>
      <c r="BL239" s="216">
        <v>33295</v>
      </c>
      <c r="BM239" s="151"/>
      <c r="BO239" s="216">
        <v>-576</v>
      </c>
      <c r="BP239" s="216">
        <v>718</v>
      </c>
      <c r="BQ239" s="216">
        <v>-2348</v>
      </c>
      <c r="BR239" s="216">
        <v>7420</v>
      </c>
      <c r="BS239" s="216">
        <v>12996</v>
      </c>
      <c r="BT239" s="216">
        <v>0</v>
      </c>
      <c r="BU239" s="216">
        <v>3228</v>
      </c>
      <c r="BV239" s="183">
        <v>0</v>
      </c>
      <c r="BW239" s="183">
        <v>0</v>
      </c>
      <c r="BX239" s="183">
        <v>26</v>
      </c>
      <c r="BY239" s="183">
        <v>3254</v>
      </c>
      <c r="BZ239" s="183">
        <v>4976</v>
      </c>
      <c r="CA239" s="183">
        <v>9879</v>
      </c>
      <c r="CB239" s="167"/>
      <c r="CC239" s="183">
        <v>61</v>
      </c>
      <c r="CD239" s="183">
        <v>-11313</v>
      </c>
      <c r="CE239" s="180">
        <v>19313</v>
      </c>
      <c r="CF239" s="139">
        <v>85236</v>
      </c>
      <c r="CG239" s="216">
        <v>76285</v>
      </c>
      <c r="CH239" s="216">
        <v>3767</v>
      </c>
      <c r="CI239" s="216">
        <v>5184</v>
      </c>
      <c r="CJ239" s="212">
        <v>21.25</v>
      </c>
      <c r="CK239" s="144"/>
      <c r="CL239" s="130">
        <v>261</v>
      </c>
      <c r="CM239" s="228">
        <v>21251</v>
      </c>
      <c r="CN239" s="138"/>
      <c r="CO239" s="142">
        <v>0.78093684455837797</v>
      </c>
      <c r="CP239" s="142">
        <v>63.100921219002402</v>
      </c>
      <c r="CQ239" s="183">
        <v>-3552.1151945790784</v>
      </c>
      <c r="CR239" s="144"/>
      <c r="CS239"/>
      <c r="CU239" s="232">
        <v>40.853005735748845</v>
      </c>
      <c r="CV239" s="143">
        <v>782.92786221824861</v>
      </c>
      <c r="CW239" s="146">
        <v>37.167941734500275</v>
      </c>
      <c r="CX239" s="143">
        <v>7688.5793609712482</v>
      </c>
      <c r="CY239" s="131">
        <v>60964</v>
      </c>
      <c r="CZ239" s="229">
        <v>19683</v>
      </c>
      <c r="DA239" s="229">
        <v>146506</v>
      </c>
      <c r="DB239" s="216">
        <v>-126823</v>
      </c>
      <c r="DC239" s="229">
        <v>91601</v>
      </c>
      <c r="DD239" s="229">
        <v>43892</v>
      </c>
      <c r="DE239" s="151"/>
      <c r="DG239" s="229">
        <v>234</v>
      </c>
      <c r="DH239" s="229">
        <v>608</v>
      </c>
      <c r="DI239" s="229">
        <v>9512</v>
      </c>
      <c r="DJ239" s="229">
        <v>9038</v>
      </c>
      <c r="DK239" s="229">
        <v>0</v>
      </c>
      <c r="DL239" s="229">
        <v>0</v>
      </c>
      <c r="DM239" s="229">
        <v>474</v>
      </c>
      <c r="DN239" s="130">
        <v>0</v>
      </c>
      <c r="DO239" s="130">
        <v>0</v>
      </c>
      <c r="DP239" s="130">
        <v>36</v>
      </c>
      <c r="DQ239" s="130">
        <v>510</v>
      </c>
      <c r="DR239" s="130">
        <v>5485</v>
      </c>
      <c r="DS239" s="130">
        <v>8643</v>
      </c>
      <c r="DT239" s="167"/>
      <c r="DU239" s="183">
        <v>-310</v>
      </c>
      <c r="DV239" s="183">
        <v>-12332</v>
      </c>
      <c r="DW239" s="180">
        <v>8034</v>
      </c>
      <c r="DX239" s="130">
        <v>91601</v>
      </c>
      <c r="DY239" s="229">
        <v>81672</v>
      </c>
      <c r="DZ239" s="229">
        <v>4913</v>
      </c>
      <c r="EA239" s="229">
        <v>5016</v>
      </c>
      <c r="EB239" s="212">
        <v>22</v>
      </c>
      <c r="EC239" s="208"/>
      <c r="ED239" s="183">
        <v>245.41911764705799</v>
      </c>
      <c r="EE239" s="3">
        <v>56100</v>
      </c>
      <c r="EF239" s="183">
        <v>57282</v>
      </c>
      <c r="EG239" s="130">
        <v>57855</v>
      </c>
      <c r="EH239" s="130"/>
      <c r="EI239" s="130"/>
      <c r="EJ239" s="130"/>
      <c r="EK239" s="183">
        <v>-14603</v>
      </c>
      <c r="EL239" s="183">
        <v>706</v>
      </c>
      <c r="EM239" s="183">
        <v>1938</v>
      </c>
      <c r="EN239" s="226">
        <v>-14424</v>
      </c>
      <c r="EO239" s="226">
        <v>113</v>
      </c>
      <c r="EP239" s="226">
        <v>23745</v>
      </c>
      <c r="EQ239" s="226">
        <v>-4173</v>
      </c>
      <c r="ER239" s="230">
        <v>0</v>
      </c>
      <c r="ES239" s="230">
        <v>3564</v>
      </c>
      <c r="ET239" s="3">
        <v>17290</v>
      </c>
      <c r="EU239" s="211">
        <v>0</v>
      </c>
      <c r="EV239" s="183">
        <v>19800</v>
      </c>
      <c r="EW239" s="183">
        <v>0</v>
      </c>
      <c r="EX239" s="130">
        <v>15000</v>
      </c>
      <c r="EY239" s="183">
        <v>0</v>
      </c>
      <c r="EZ239" s="3">
        <v>69795</v>
      </c>
      <c r="FA239" s="3">
        <v>58482</v>
      </c>
      <c r="FB239" s="3">
        <v>11313</v>
      </c>
      <c r="FC239" s="3">
        <v>5025</v>
      </c>
      <c r="FD239" s="226">
        <v>78282</v>
      </c>
      <c r="FE239" s="183">
        <v>65950</v>
      </c>
      <c r="FF239" s="183">
        <v>12332</v>
      </c>
      <c r="FG239" s="183">
        <v>27383</v>
      </c>
      <c r="FH239" s="230">
        <v>80950</v>
      </c>
      <c r="FI239" s="130">
        <v>67118</v>
      </c>
      <c r="FJ239" s="130">
        <v>13832</v>
      </c>
      <c r="FK239" s="130">
        <v>27178</v>
      </c>
      <c r="FL239" s="29">
        <v>6151.9331918427606</v>
      </c>
      <c r="FM239" s="139">
        <v>6946.0859823554119</v>
      </c>
      <c r="FN239" s="139">
        <v>7153.7809985412459</v>
      </c>
      <c r="FO239" s="172">
        <f t="shared" si="9"/>
        <v>3712.3636363636365</v>
      </c>
      <c r="FP239" s="170">
        <f t="shared" si="10"/>
        <v>174.69124447619578</v>
      </c>
      <c r="FR239" s="175"/>
      <c r="FS239" s="195"/>
      <c r="FV239" s="175">
        <v>5346</v>
      </c>
      <c r="FW239" s="2">
        <f t="shared" si="11"/>
        <v>-5346</v>
      </c>
      <c r="FZ239" s="186"/>
      <c r="GA239" s="2"/>
      <c r="GB239" s="2"/>
    </row>
    <row r="240" spans="1:184" ht="13" x14ac:dyDescent="0.3">
      <c r="A240" s="77">
        <v>751</v>
      </c>
      <c r="B240" s="75" t="s">
        <v>229</v>
      </c>
      <c r="C240" s="179">
        <v>3045</v>
      </c>
      <c r="D240" s="138"/>
      <c r="E240" s="142">
        <v>0.4323748668796592</v>
      </c>
      <c r="F240" s="142">
        <v>29.916799433528059</v>
      </c>
      <c r="G240" s="183">
        <v>-1429.8850574712642</v>
      </c>
      <c r="H240" s="144"/>
      <c r="I240" s="186"/>
      <c r="K240" s="210">
        <v>59.157836029001672</v>
      </c>
      <c r="L240" s="143">
        <v>671.26436781609198</v>
      </c>
      <c r="M240" s="146">
        <v>31.094902679948319</v>
      </c>
      <c r="N240" s="143">
        <v>7879.4745484400655</v>
      </c>
      <c r="O240" s="138">
        <v>5334</v>
      </c>
      <c r="P240" s="143">
        <v>2250</v>
      </c>
      <c r="Q240" s="184">
        <v>22209</v>
      </c>
      <c r="R240" s="184">
        <v>-19959</v>
      </c>
      <c r="S240" s="139">
        <v>11951</v>
      </c>
      <c r="T240" s="138">
        <v>8395</v>
      </c>
      <c r="U240" s="151"/>
      <c r="W240" s="183">
        <v>-75</v>
      </c>
      <c r="X240" s="183">
        <v>19</v>
      </c>
      <c r="Y240" s="184">
        <v>331</v>
      </c>
      <c r="Z240" s="130">
        <v>893</v>
      </c>
      <c r="AA240" s="130">
        <v>0</v>
      </c>
      <c r="AB240" s="130">
        <v>0</v>
      </c>
      <c r="AC240" s="184">
        <v>-562</v>
      </c>
      <c r="AD240" s="183">
        <v>0</v>
      </c>
      <c r="AE240" s="183">
        <v>0</v>
      </c>
      <c r="AF240" s="183">
        <v>0</v>
      </c>
      <c r="AG240" s="183">
        <v>-562</v>
      </c>
      <c r="AH240" s="183">
        <v>2303</v>
      </c>
      <c r="AI240" s="183">
        <v>296</v>
      </c>
      <c r="AJ240" s="167"/>
      <c r="AK240" s="183">
        <v>599</v>
      </c>
      <c r="AL240" s="183">
        <v>-864</v>
      </c>
      <c r="AM240" s="180">
        <v>-426</v>
      </c>
      <c r="AN240" s="139">
        <v>11951</v>
      </c>
      <c r="AO240" s="138">
        <v>9988</v>
      </c>
      <c r="AP240" s="184">
        <v>344</v>
      </c>
      <c r="AQ240" s="138">
        <v>1619</v>
      </c>
      <c r="AR240" s="109">
        <v>22</v>
      </c>
      <c r="AS240" s="144"/>
      <c r="AT240" s="139">
        <v>212</v>
      </c>
      <c r="AU240" s="228">
        <v>2988</v>
      </c>
      <c r="AV240" s="138"/>
      <c r="AW240" s="224">
        <v>-0.94035577258458314</v>
      </c>
      <c r="AX240" s="225">
        <v>31.070287539936103</v>
      </c>
      <c r="AY240" s="139">
        <v>-2102.4096385542171</v>
      </c>
      <c r="AZ240" s="144"/>
      <c r="BA240"/>
      <c r="BC240" s="189">
        <v>54.214095422620488</v>
      </c>
      <c r="BD240" s="183">
        <v>113.45381526104417</v>
      </c>
      <c r="BE240" s="140">
        <v>4.8286829268292681</v>
      </c>
      <c r="BF240" s="139">
        <v>8575.9705488621148</v>
      </c>
      <c r="BG240" s="184">
        <v>5463</v>
      </c>
      <c r="BH240" s="216">
        <v>2070</v>
      </c>
      <c r="BI240" s="216">
        <v>23229</v>
      </c>
      <c r="BJ240" s="216">
        <v>-21159</v>
      </c>
      <c r="BK240" s="216">
        <v>12338</v>
      </c>
      <c r="BL240" s="216">
        <v>8128</v>
      </c>
      <c r="BM240" s="151"/>
      <c r="BO240" s="216">
        <v>-64</v>
      </c>
      <c r="BP240" s="216">
        <v>19</v>
      </c>
      <c r="BQ240" s="216">
        <v>-738</v>
      </c>
      <c r="BR240" s="216">
        <v>914</v>
      </c>
      <c r="BS240" s="216">
        <v>0</v>
      </c>
      <c r="BT240" s="216">
        <v>0</v>
      </c>
      <c r="BU240" s="216">
        <v>-1652</v>
      </c>
      <c r="BV240" s="183">
        <v>0</v>
      </c>
      <c r="BW240" s="183">
        <v>-2</v>
      </c>
      <c r="BX240" s="183">
        <v>0</v>
      </c>
      <c r="BY240" s="183">
        <v>-1654</v>
      </c>
      <c r="BZ240" s="183">
        <v>650</v>
      </c>
      <c r="CA240" s="183">
        <v>-741</v>
      </c>
      <c r="CB240" s="167"/>
      <c r="CC240" s="183">
        <v>-18</v>
      </c>
      <c r="CD240" s="183">
        <v>-1014</v>
      </c>
      <c r="CE240" s="180">
        <v>-1914</v>
      </c>
      <c r="CF240" s="139">
        <v>12338</v>
      </c>
      <c r="CG240" s="216">
        <v>10338</v>
      </c>
      <c r="CH240" s="216">
        <v>347</v>
      </c>
      <c r="CI240" s="216">
        <v>1653</v>
      </c>
      <c r="CJ240" s="212">
        <v>22</v>
      </c>
      <c r="CK240" s="144"/>
      <c r="CL240" s="130">
        <v>276</v>
      </c>
      <c r="CM240" s="228">
        <v>2950</v>
      </c>
      <c r="CN240" s="138"/>
      <c r="CO240" s="142">
        <v>2.5517241379310347</v>
      </c>
      <c r="CP240" s="142">
        <v>24.892033068728665</v>
      </c>
      <c r="CQ240" s="183">
        <v>-1480</v>
      </c>
      <c r="CR240" s="144"/>
      <c r="CS240"/>
      <c r="CU240" s="232">
        <v>60.65516437397995</v>
      </c>
      <c r="CV240" s="143">
        <v>342.37288135593218</v>
      </c>
      <c r="CW240" s="146">
        <v>15.632023067463852</v>
      </c>
      <c r="CX240" s="143">
        <v>7994.2372881355932</v>
      </c>
      <c r="CY240" s="131">
        <v>5516</v>
      </c>
      <c r="CZ240" s="229">
        <v>2105</v>
      </c>
      <c r="DA240" s="229">
        <v>21870</v>
      </c>
      <c r="DB240" s="216">
        <v>-19765</v>
      </c>
      <c r="DC240" s="229">
        <v>12194</v>
      </c>
      <c r="DD240" s="229">
        <v>10014</v>
      </c>
      <c r="DE240" s="151"/>
      <c r="DG240" s="229">
        <v>-57</v>
      </c>
      <c r="DH240" s="229">
        <v>-1</v>
      </c>
      <c r="DI240" s="229">
        <v>2385</v>
      </c>
      <c r="DJ240" s="229">
        <v>932</v>
      </c>
      <c r="DK240" s="229">
        <v>0</v>
      </c>
      <c r="DL240" s="229">
        <v>0</v>
      </c>
      <c r="DM240" s="229">
        <v>1453</v>
      </c>
      <c r="DN240" s="130">
        <v>0</v>
      </c>
      <c r="DO240" s="130">
        <v>0</v>
      </c>
      <c r="DP240" s="130">
        <v>0</v>
      </c>
      <c r="DQ240" s="130">
        <v>1453</v>
      </c>
      <c r="DR240" s="130">
        <v>2102</v>
      </c>
      <c r="DS240" s="130">
        <v>2332</v>
      </c>
      <c r="DT240" s="167"/>
      <c r="DU240" s="183">
        <v>-296</v>
      </c>
      <c r="DV240" s="183">
        <v>-900</v>
      </c>
      <c r="DW240" s="180">
        <v>1700</v>
      </c>
      <c r="DX240" s="130">
        <v>12194</v>
      </c>
      <c r="DY240" s="229">
        <v>10410</v>
      </c>
      <c r="DZ240" s="229">
        <v>336</v>
      </c>
      <c r="EA240" s="229">
        <v>1448</v>
      </c>
      <c r="EB240" s="212">
        <v>22</v>
      </c>
      <c r="EC240" s="208"/>
      <c r="ED240" s="183">
        <v>82.227941176470594</v>
      </c>
      <c r="EE240" s="3">
        <v>15389</v>
      </c>
      <c r="EF240" s="183">
        <v>16104</v>
      </c>
      <c r="EG240" s="130">
        <v>14812</v>
      </c>
      <c r="EH240" s="130"/>
      <c r="EI240" s="130"/>
      <c r="EJ240" s="130">
        <v>420</v>
      </c>
      <c r="EK240" s="183">
        <v>-845</v>
      </c>
      <c r="EL240" s="183">
        <v>26</v>
      </c>
      <c r="EM240" s="183">
        <v>97</v>
      </c>
      <c r="EN240" s="226">
        <v>-1318</v>
      </c>
      <c r="EO240" s="226">
        <v>76</v>
      </c>
      <c r="EP240" s="226">
        <v>69</v>
      </c>
      <c r="EQ240" s="226">
        <v>-754</v>
      </c>
      <c r="ER240" s="230">
        <v>30</v>
      </c>
      <c r="ES240" s="230">
        <v>92</v>
      </c>
      <c r="ET240" s="3">
        <v>0</v>
      </c>
      <c r="EU240" s="211">
        <v>0</v>
      </c>
      <c r="EV240" s="183">
        <v>1000</v>
      </c>
      <c r="EW240" s="183">
        <v>99</v>
      </c>
      <c r="EX240" s="130">
        <v>1100</v>
      </c>
      <c r="EY240" s="183">
        <v>-118</v>
      </c>
      <c r="EZ240" s="3">
        <v>4663</v>
      </c>
      <c r="FA240" s="3">
        <v>3800</v>
      </c>
      <c r="FB240" s="3">
        <v>863</v>
      </c>
      <c r="FC240" s="3">
        <v>320</v>
      </c>
      <c r="FD240" s="226">
        <v>4750</v>
      </c>
      <c r="FE240" s="183">
        <v>3786</v>
      </c>
      <c r="FF240" s="183">
        <v>964</v>
      </c>
      <c r="FG240" s="183">
        <v>320</v>
      </c>
      <c r="FH240" s="230">
        <v>4832</v>
      </c>
      <c r="FI240" s="130">
        <v>3986</v>
      </c>
      <c r="FJ240" s="130">
        <v>846</v>
      </c>
      <c r="FK240" s="130">
        <v>320</v>
      </c>
      <c r="FL240" s="29">
        <v>2784.5648604269295</v>
      </c>
      <c r="FM240" s="139">
        <v>2789.4912985274432</v>
      </c>
      <c r="FN240" s="139">
        <v>2758.9830508474574</v>
      </c>
      <c r="FO240" s="172">
        <f t="shared" si="9"/>
        <v>473.18181818181819</v>
      </c>
      <c r="FP240" s="170">
        <f t="shared" si="10"/>
        <v>160.40061633281971</v>
      </c>
      <c r="FR240" s="175"/>
      <c r="FS240" s="195"/>
      <c r="FV240" s="175">
        <v>1016</v>
      </c>
      <c r="FW240" s="2">
        <f t="shared" si="11"/>
        <v>-1016</v>
      </c>
      <c r="FZ240" s="186"/>
      <c r="GA240" s="2"/>
      <c r="GB240" s="2"/>
    </row>
    <row r="241" spans="1:184" ht="13" x14ac:dyDescent="0.3">
      <c r="A241" s="77">
        <v>753</v>
      </c>
      <c r="B241" s="75" t="s">
        <v>230</v>
      </c>
      <c r="C241" s="179">
        <v>20666</v>
      </c>
      <c r="D241" s="138"/>
      <c r="E241" s="142">
        <v>0.78162859980139032</v>
      </c>
      <c r="F241" s="142">
        <v>78.579702590388493</v>
      </c>
      <c r="G241" s="183">
        <v>-4464.5311139068999</v>
      </c>
      <c r="H241" s="144"/>
      <c r="I241" s="186"/>
      <c r="K241" s="210">
        <v>53.84455721511052</v>
      </c>
      <c r="L241" s="143">
        <v>345.25307267976387</v>
      </c>
      <c r="M241" s="146">
        <v>14.96494756500503</v>
      </c>
      <c r="N241" s="143">
        <v>8420.8361560050325</v>
      </c>
      <c r="O241" s="138">
        <v>56877</v>
      </c>
      <c r="P241" s="143">
        <v>25941</v>
      </c>
      <c r="Q241" s="184">
        <v>130615</v>
      </c>
      <c r="R241" s="184">
        <v>-104674</v>
      </c>
      <c r="S241" s="139">
        <v>98946</v>
      </c>
      <c r="T241" s="138">
        <v>13390</v>
      </c>
      <c r="U241" s="151"/>
      <c r="W241" s="183">
        <v>-490</v>
      </c>
      <c r="X241" s="183">
        <v>183</v>
      </c>
      <c r="Y241" s="184">
        <v>7355</v>
      </c>
      <c r="Z241" s="130">
        <v>7183</v>
      </c>
      <c r="AA241" s="130">
        <v>0</v>
      </c>
      <c r="AB241" s="130">
        <v>0</v>
      </c>
      <c r="AC241" s="184">
        <v>172</v>
      </c>
      <c r="AD241" s="183">
        <v>-2658</v>
      </c>
      <c r="AE241" s="183">
        <v>4017</v>
      </c>
      <c r="AF241" s="184">
        <v>0</v>
      </c>
      <c r="AG241" s="183">
        <v>1531</v>
      </c>
      <c r="AH241" s="183">
        <v>16115</v>
      </c>
      <c r="AI241" s="183">
        <v>3118</v>
      </c>
      <c r="AJ241" s="167"/>
      <c r="AK241" s="183">
        <v>-3393</v>
      </c>
      <c r="AL241" s="183">
        <v>-9554</v>
      </c>
      <c r="AM241" s="180">
        <v>-25839</v>
      </c>
      <c r="AN241" s="139">
        <v>98946</v>
      </c>
      <c r="AO241" s="138">
        <v>84729</v>
      </c>
      <c r="AP241" s="184">
        <v>4774</v>
      </c>
      <c r="AQ241" s="138">
        <v>9443</v>
      </c>
      <c r="AR241" s="109">
        <v>19.25</v>
      </c>
      <c r="AS241" s="144"/>
      <c r="AT241" s="139">
        <v>93</v>
      </c>
      <c r="AU241" s="228">
        <v>21170</v>
      </c>
      <c r="AV241" s="138"/>
      <c r="AW241" s="224">
        <v>0.39456778897560896</v>
      </c>
      <c r="AX241" s="225">
        <v>99.337679378501662</v>
      </c>
      <c r="AY241" s="139">
        <v>-5822.0122815304676</v>
      </c>
      <c r="AZ241" s="144"/>
      <c r="BA241"/>
      <c r="BC241" s="189">
        <v>46.932880643825079</v>
      </c>
      <c r="BD241" s="183">
        <v>604.77090222012282</v>
      </c>
      <c r="BE241" s="140">
        <v>25.427934790889008</v>
      </c>
      <c r="BF241" s="139">
        <v>8681.0581010864425</v>
      </c>
      <c r="BG241" s="184">
        <v>58116</v>
      </c>
      <c r="BH241" s="216">
        <v>25704</v>
      </c>
      <c r="BI241" s="216">
        <v>138415</v>
      </c>
      <c r="BJ241" s="216">
        <v>-112711</v>
      </c>
      <c r="BK241" s="216">
        <v>103221</v>
      </c>
      <c r="BL241" s="216">
        <v>15114</v>
      </c>
      <c r="BM241" s="151"/>
      <c r="BO241" s="216">
        <v>-415</v>
      </c>
      <c r="BP241" s="216">
        <v>186</v>
      </c>
      <c r="BQ241" s="216">
        <v>5395</v>
      </c>
      <c r="BR241" s="216">
        <v>13969</v>
      </c>
      <c r="BS241" s="216">
        <v>9573</v>
      </c>
      <c r="BT241" s="216">
        <v>1065</v>
      </c>
      <c r="BU241" s="216">
        <v>-66</v>
      </c>
      <c r="BV241" s="183">
        <v>899</v>
      </c>
      <c r="BW241" s="183">
        <v>257</v>
      </c>
      <c r="BX241" s="184">
        <v>0</v>
      </c>
      <c r="BY241" s="183">
        <v>1090</v>
      </c>
      <c r="BZ241" s="183">
        <v>17057</v>
      </c>
      <c r="CA241" s="183">
        <v>10023</v>
      </c>
      <c r="CB241" s="167"/>
      <c r="CC241" s="183">
        <v>-3847</v>
      </c>
      <c r="CD241" s="183">
        <v>-8305</v>
      </c>
      <c r="CE241" s="180">
        <v>-21354</v>
      </c>
      <c r="CF241" s="139">
        <v>103221</v>
      </c>
      <c r="CG241" s="216">
        <v>88839</v>
      </c>
      <c r="CH241" s="216">
        <v>4366</v>
      </c>
      <c r="CI241" s="216">
        <v>10016</v>
      </c>
      <c r="CJ241" s="212">
        <v>19.25</v>
      </c>
      <c r="CK241" s="144"/>
      <c r="CL241" s="130">
        <v>106</v>
      </c>
      <c r="CM241" s="228">
        <v>21687</v>
      </c>
      <c r="CN241" s="138"/>
      <c r="CO241" s="142">
        <v>1.6867494402605332</v>
      </c>
      <c r="CP241" s="142">
        <v>91.591697725228116</v>
      </c>
      <c r="CQ241" s="183">
        <v>-6061.3270622953842</v>
      </c>
      <c r="CR241" s="144"/>
      <c r="CS241"/>
      <c r="CU241" s="232">
        <v>47.259483708774297</v>
      </c>
      <c r="CV241" s="143">
        <v>272.7901507815742</v>
      </c>
      <c r="CW241" s="146">
        <v>12.286779140231586</v>
      </c>
      <c r="CX241" s="143">
        <v>8103.7026790242999</v>
      </c>
      <c r="CY241" s="131">
        <v>60693</v>
      </c>
      <c r="CZ241" s="229">
        <v>25007</v>
      </c>
      <c r="DA241" s="229">
        <v>139313</v>
      </c>
      <c r="DB241" s="216">
        <v>-114306</v>
      </c>
      <c r="DC241" s="229">
        <v>107044</v>
      </c>
      <c r="DD241" s="229">
        <v>23569</v>
      </c>
      <c r="DE241" s="151"/>
      <c r="DG241" s="229">
        <v>-391</v>
      </c>
      <c r="DH241" s="229">
        <v>188</v>
      </c>
      <c r="DI241" s="229">
        <v>16104</v>
      </c>
      <c r="DJ241" s="229">
        <v>14797</v>
      </c>
      <c r="DK241" s="229">
        <v>0</v>
      </c>
      <c r="DL241" s="229">
        <v>0</v>
      </c>
      <c r="DM241" s="229">
        <v>1307</v>
      </c>
      <c r="DN241" s="130">
        <v>-11277</v>
      </c>
      <c r="DO241" s="130">
        <v>12700</v>
      </c>
      <c r="DP241" s="131">
        <v>0</v>
      </c>
      <c r="DQ241" s="130">
        <v>2730</v>
      </c>
      <c r="DR241" s="130">
        <v>19787</v>
      </c>
      <c r="DS241" s="130">
        <v>10830</v>
      </c>
      <c r="DT241" s="167"/>
      <c r="DU241" s="183">
        <v>1863</v>
      </c>
      <c r="DV241" s="183">
        <v>-9356</v>
      </c>
      <c r="DW241" s="180">
        <v>-9002</v>
      </c>
      <c r="DX241" s="130">
        <v>107044</v>
      </c>
      <c r="DY241" s="229">
        <v>92585</v>
      </c>
      <c r="DZ241" s="229">
        <v>5349</v>
      </c>
      <c r="EA241" s="229">
        <v>9110</v>
      </c>
      <c r="EB241" s="212">
        <v>19.25</v>
      </c>
      <c r="EC241" s="208"/>
      <c r="ED241" s="183">
        <v>109.42647058823501</v>
      </c>
      <c r="EE241" s="3">
        <v>52601</v>
      </c>
      <c r="EF241" s="183">
        <v>56415</v>
      </c>
      <c r="EG241" s="130">
        <v>56794</v>
      </c>
      <c r="EH241" s="130"/>
      <c r="EI241" s="130"/>
      <c r="EJ241" s="130"/>
      <c r="EK241" s="183">
        <v>-33482</v>
      </c>
      <c r="EL241" s="183">
        <v>20</v>
      </c>
      <c r="EM241" s="183">
        <v>4505</v>
      </c>
      <c r="EN241" s="226">
        <v>-36583</v>
      </c>
      <c r="EO241" s="226">
        <v>225</v>
      </c>
      <c r="EP241" s="226">
        <v>4981</v>
      </c>
      <c r="EQ241" s="226">
        <v>-26581</v>
      </c>
      <c r="ER241" s="230">
        <v>455</v>
      </c>
      <c r="ES241" s="230">
        <v>6294</v>
      </c>
      <c r="ET241" s="3">
        <v>12000</v>
      </c>
      <c r="EU241" s="211">
        <v>15000</v>
      </c>
      <c r="EV241" s="183">
        <v>10000</v>
      </c>
      <c r="EW241" s="183">
        <v>35000</v>
      </c>
      <c r="EX241" s="130">
        <v>33000</v>
      </c>
      <c r="EY241" s="183">
        <v>-20000</v>
      </c>
      <c r="EZ241" s="3">
        <v>69035</v>
      </c>
      <c r="FA241" s="3">
        <v>45730</v>
      </c>
      <c r="FB241" s="3">
        <v>23305</v>
      </c>
      <c r="FC241" s="3">
        <v>2</v>
      </c>
      <c r="FD241" s="226">
        <v>105729</v>
      </c>
      <c r="FE241" s="183">
        <v>48024</v>
      </c>
      <c r="FF241" s="183">
        <v>57705</v>
      </c>
      <c r="FG241" s="183">
        <v>2</v>
      </c>
      <c r="FH241" s="230">
        <v>109374</v>
      </c>
      <c r="FI241" s="130">
        <v>69120</v>
      </c>
      <c r="FJ241" s="130">
        <v>40254</v>
      </c>
      <c r="FK241" s="130">
        <v>2</v>
      </c>
      <c r="FL241" s="29">
        <v>3757.4276589567407</v>
      </c>
      <c r="FM241" s="139">
        <v>5556.542276806802</v>
      </c>
      <c r="FN241" s="139">
        <v>5682.8975884170241</v>
      </c>
      <c r="FO241" s="172">
        <f t="shared" si="9"/>
        <v>4809.6103896103896</v>
      </c>
      <c r="FP241" s="170">
        <f t="shared" si="10"/>
        <v>221.77389171440905</v>
      </c>
      <c r="FR241" s="175"/>
      <c r="FS241" s="195"/>
      <c r="FV241" s="175">
        <v>9761</v>
      </c>
      <c r="FW241" s="2">
        <f t="shared" si="11"/>
        <v>-9761</v>
      </c>
      <c r="FZ241" s="186"/>
      <c r="GA241" s="2"/>
      <c r="GB241" s="2"/>
    </row>
    <row r="242" spans="1:184" ht="13" x14ac:dyDescent="0.3">
      <c r="A242" s="77">
        <v>755</v>
      </c>
      <c r="B242" s="75" t="s">
        <v>231</v>
      </c>
      <c r="C242" s="179">
        <v>6134</v>
      </c>
      <c r="D242" s="138"/>
      <c r="E242" s="142">
        <v>0.84061981184283341</v>
      </c>
      <c r="F242" s="142">
        <v>63.87281877616293</v>
      </c>
      <c r="G242" s="183">
        <v>-3938.8653407238344</v>
      </c>
      <c r="H242" s="144"/>
      <c r="I242" s="186"/>
      <c r="K242" s="210">
        <v>30.869080214988337</v>
      </c>
      <c r="L242" s="143">
        <v>156.34170198891425</v>
      </c>
      <c r="M242" s="146">
        <v>7.3928149024246004</v>
      </c>
      <c r="N242" s="143">
        <v>7718.943593087708</v>
      </c>
      <c r="O242" s="138">
        <v>13105</v>
      </c>
      <c r="P242" s="143">
        <v>9122</v>
      </c>
      <c r="Q242" s="184">
        <v>39554</v>
      </c>
      <c r="R242" s="184">
        <v>-30432</v>
      </c>
      <c r="S242" s="139">
        <v>28866</v>
      </c>
      <c r="T242" s="138">
        <v>4534</v>
      </c>
      <c r="U242" s="151"/>
      <c r="W242" s="183">
        <v>-314</v>
      </c>
      <c r="X242" s="183">
        <v>65</v>
      </c>
      <c r="Y242" s="184">
        <v>2719</v>
      </c>
      <c r="Z242" s="130">
        <v>2027</v>
      </c>
      <c r="AA242" s="130">
        <v>0</v>
      </c>
      <c r="AB242" s="130">
        <v>0</v>
      </c>
      <c r="AC242" s="184">
        <v>692</v>
      </c>
      <c r="AD242" s="183">
        <v>0</v>
      </c>
      <c r="AE242" s="183">
        <v>0</v>
      </c>
      <c r="AF242" s="183">
        <v>0</v>
      </c>
      <c r="AG242" s="183">
        <v>692</v>
      </c>
      <c r="AH242" s="183">
        <v>2824</v>
      </c>
      <c r="AI242" s="183">
        <v>2330</v>
      </c>
      <c r="AJ242" s="167"/>
      <c r="AK242" s="183">
        <v>72</v>
      </c>
      <c r="AL242" s="183">
        <v>-3295</v>
      </c>
      <c r="AM242" s="180">
        <v>-1203</v>
      </c>
      <c r="AN242" s="139">
        <v>28866</v>
      </c>
      <c r="AO242" s="138">
        <v>26067</v>
      </c>
      <c r="AP242" s="184">
        <v>597</v>
      </c>
      <c r="AQ242" s="138">
        <v>2202</v>
      </c>
      <c r="AR242" s="109">
        <v>21.5</v>
      </c>
      <c r="AS242" s="144"/>
      <c r="AT242" s="139">
        <v>60</v>
      </c>
      <c r="AU242" s="228">
        <v>6145</v>
      </c>
      <c r="AV242" s="138"/>
      <c r="AW242" s="224">
        <v>0.30590142194061742</v>
      </c>
      <c r="AX242" s="225">
        <v>64.8381423206731</v>
      </c>
      <c r="AY242" s="139">
        <v>-4197.8844589096825</v>
      </c>
      <c r="AZ242" s="144"/>
      <c r="BA242"/>
      <c r="BC242" s="189">
        <v>28.079619757884508</v>
      </c>
      <c r="BD242" s="183">
        <v>65.419039869812863</v>
      </c>
      <c r="BE242" s="140">
        <v>3.0637684790779254</v>
      </c>
      <c r="BF242" s="139">
        <v>7793.6533767290484</v>
      </c>
      <c r="BG242" s="184">
        <v>13591</v>
      </c>
      <c r="BH242" s="216">
        <v>7627</v>
      </c>
      <c r="BI242" s="216">
        <v>41271</v>
      </c>
      <c r="BJ242" s="216">
        <v>-33428</v>
      </c>
      <c r="BK242" s="216">
        <v>29639</v>
      </c>
      <c r="BL242" s="216">
        <v>4808</v>
      </c>
      <c r="BM242" s="151"/>
      <c r="BO242" s="216">
        <v>-239</v>
      </c>
      <c r="BP242" s="216">
        <v>6</v>
      </c>
      <c r="BQ242" s="216">
        <v>786</v>
      </c>
      <c r="BR242" s="216">
        <v>2268</v>
      </c>
      <c r="BS242" s="216">
        <v>0</v>
      </c>
      <c r="BT242" s="216">
        <v>0</v>
      </c>
      <c r="BU242" s="216">
        <v>-1482</v>
      </c>
      <c r="BV242" s="183">
        <v>0</v>
      </c>
      <c r="BW242" s="183">
        <v>0</v>
      </c>
      <c r="BX242" s="183">
        <v>0</v>
      </c>
      <c r="BY242" s="183">
        <v>-1482</v>
      </c>
      <c r="BZ242" s="183">
        <v>1341</v>
      </c>
      <c r="CA242" s="183">
        <v>697</v>
      </c>
      <c r="CB242" s="167"/>
      <c r="CC242" s="183">
        <v>958</v>
      </c>
      <c r="CD242" s="183">
        <v>-3920</v>
      </c>
      <c r="CE242" s="180">
        <v>-1634</v>
      </c>
      <c r="CF242" s="139">
        <v>29639</v>
      </c>
      <c r="CG242" s="216">
        <v>26773</v>
      </c>
      <c r="CH242" s="216">
        <v>631</v>
      </c>
      <c r="CI242" s="216">
        <v>2235</v>
      </c>
      <c r="CJ242" s="212">
        <v>21.5</v>
      </c>
      <c r="CK242" s="144"/>
      <c r="CL242" s="130">
        <v>168</v>
      </c>
      <c r="CM242" s="228">
        <v>6149</v>
      </c>
      <c r="CN242" s="138"/>
      <c r="CO242" s="142">
        <v>1.0020120724346075</v>
      </c>
      <c r="CP242" s="142">
        <v>59.489650883894463</v>
      </c>
      <c r="CQ242" s="183">
        <v>-4137.5833468856727</v>
      </c>
      <c r="CR242" s="144"/>
      <c r="CS242"/>
      <c r="CU242" s="232">
        <v>31.857801652054935</v>
      </c>
      <c r="CV242" s="143">
        <v>63.750203285087004</v>
      </c>
      <c r="CW242" s="146">
        <v>2.9191659525849758</v>
      </c>
      <c r="CX242" s="143">
        <v>7971.052203610343</v>
      </c>
      <c r="CY242" s="131">
        <v>13764</v>
      </c>
      <c r="CZ242" s="229">
        <v>7829</v>
      </c>
      <c r="DA242" s="229">
        <v>41345</v>
      </c>
      <c r="DB242" s="216">
        <v>-33516</v>
      </c>
      <c r="DC242" s="229">
        <v>30274</v>
      </c>
      <c r="DD242" s="229">
        <v>7194</v>
      </c>
      <c r="DE242" s="151"/>
      <c r="DG242" s="229">
        <v>-192</v>
      </c>
      <c r="DH242" s="229">
        <v>18</v>
      </c>
      <c r="DI242" s="229">
        <v>3778</v>
      </c>
      <c r="DJ242" s="229">
        <v>1896</v>
      </c>
      <c r="DK242" s="229">
        <v>0</v>
      </c>
      <c r="DL242" s="229">
        <v>0</v>
      </c>
      <c r="DM242" s="229">
        <v>1882</v>
      </c>
      <c r="DN242" s="130">
        <v>0</v>
      </c>
      <c r="DO242" s="130">
        <v>0</v>
      </c>
      <c r="DP242" s="130">
        <v>0</v>
      </c>
      <c r="DQ242" s="130">
        <v>1882</v>
      </c>
      <c r="DR242" s="130">
        <v>3222</v>
      </c>
      <c r="DS242" s="130">
        <v>3297</v>
      </c>
      <c r="DT242" s="167"/>
      <c r="DU242" s="183">
        <v>128</v>
      </c>
      <c r="DV242" s="183">
        <v>-3770</v>
      </c>
      <c r="DW242" s="180">
        <v>352</v>
      </c>
      <c r="DX242" s="130">
        <v>30274</v>
      </c>
      <c r="DY242" s="229">
        <v>27534</v>
      </c>
      <c r="DZ242" s="229">
        <v>691</v>
      </c>
      <c r="EA242" s="229">
        <v>2049</v>
      </c>
      <c r="EB242" s="212">
        <v>21.5</v>
      </c>
      <c r="EC242" s="208"/>
      <c r="ED242" s="183">
        <v>178.933823529411</v>
      </c>
      <c r="EE242" s="3">
        <v>21145</v>
      </c>
      <c r="EF242" s="183">
        <v>22110</v>
      </c>
      <c r="EG242" s="130">
        <v>22476</v>
      </c>
      <c r="EH242" s="130"/>
      <c r="EI242" s="130"/>
      <c r="EJ242" s="130"/>
      <c r="EK242" s="183">
        <v>-4177</v>
      </c>
      <c r="EL242" s="183">
        <v>0</v>
      </c>
      <c r="EM242" s="183">
        <v>644</v>
      </c>
      <c r="EN242" s="226">
        <v>-2644</v>
      </c>
      <c r="EO242" s="226">
        <v>0</v>
      </c>
      <c r="EP242" s="226">
        <v>313</v>
      </c>
      <c r="EQ242" s="226">
        <v>-3902</v>
      </c>
      <c r="ER242" s="230">
        <v>42</v>
      </c>
      <c r="ES242" s="230">
        <v>915</v>
      </c>
      <c r="ET242" s="3">
        <v>4000</v>
      </c>
      <c r="EU242" s="211">
        <v>0</v>
      </c>
      <c r="EV242" s="183">
        <v>2000</v>
      </c>
      <c r="EW242" s="183">
        <v>2200</v>
      </c>
      <c r="EX242" s="130">
        <v>4000</v>
      </c>
      <c r="EY242" s="183">
        <v>-500</v>
      </c>
      <c r="EZ242" s="3">
        <v>22000</v>
      </c>
      <c r="FA242" s="3">
        <v>18430</v>
      </c>
      <c r="FB242" s="3">
        <v>3570</v>
      </c>
      <c r="FC242" s="3">
        <v>0</v>
      </c>
      <c r="FD242" s="226">
        <v>22280</v>
      </c>
      <c r="FE242" s="183">
        <v>16510</v>
      </c>
      <c r="FF242" s="183">
        <v>5770</v>
      </c>
      <c r="FG242" s="183">
        <v>0</v>
      </c>
      <c r="FH242" s="230">
        <v>22010</v>
      </c>
      <c r="FI242" s="130">
        <v>16190</v>
      </c>
      <c r="FJ242" s="130">
        <v>5820</v>
      </c>
      <c r="FK242" s="130">
        <v>0</v>
      </c>
      <c r="FL242" s="29">
        <v>3850.016302575807</v>
      </c>
      <c r="FM242" s="139">
        <v>4045.40276647681</v>
      </c>
      <c r="FN242" s="139">
        <v>4175.1504309643842</v>
      </c>
      <c r="FO242" s="172">
        <f t="shared" si="9"/>
        <v>1280.6511627906978</v>
      </c>
      <c r="FP242" s="170">
        <f t="shared" si="10"/>
        <v>208.26982644181129</v>
      </c>
      <c r="FR242" s="175"/>
      <c r="FS242" s="195"/>
      <c r="FV242" s="175">
        <v>1890</v>
      </c>
      <c r="FW242" s="2">
        <f t="shared" si="11"/>
        <v>-1890</v>
      </c>
      <c r="FZ242" s="186"/>
      <c r="GA242" s="2"/>
      <c r="GB242" s="2"/>
    </row>
    <row r="243" spans="1:184" ht="13" x14ac:dyDescent="0.3">
      <c r="A243" s="77">
        <v>758</v>
      </c>
      <c r="B243" s="75" t="s">
        <v>232</v>
      </c>
      <c r="C243" s="179">
        <v>8444</v>
      </c>
      <c r="D243" s="138"/>
      <c r="E243" s="142">
        <v>0.33428916389978869</v>
      </c>
      <c r="F243" s="142">
        <v>58.250639104978148</v>
      </c>
      <c r="G243" s="183">
        <v>-3936.404547607769</v>
      </c>
      <c r="H243" s="144"/>
      <c r="I243" s="186"/>
      <c r="K243" s="210">
        <v>43.478376262324666</v>
      </c>
      <c r="L243" s="143">
        <v>562.88488867835156</v>
      </c>
      <c r="M243" s="146">
        <v>20.458801608547471</v>
      </c>
      <c r="N243" s="143">
        <v>10042.278540975842</v>
      </c>
      <c r="O243" s="138">
        <v>35549</v>
      </c>
      <c r="P243" s="143">
        <v>10799</v>
      </c>
      <c r="Q243" s="184">
        <v>71928</v>
      </c>
      <c r="R243" s="184">
        <v>-61129</v>
      </c>
      <c r="S243" s="139">
        <v>36286</v>
      </c>
      <c r="T243" s="138">
        <v>25673</v>
      </c>
      <c r="U243" s="151"/>
      <c r="W243" s="183">
        <v>-76</v>
      </c>
      <c r="X243" s="183">
        <v>1110</v>
      </c>
      <c r="Y243" s="184">
        <v>1864</v>
      </c>
      <c r="Z243" s="130">
        <v>3785</v>
      </c>
      <c r="AA243" s="130">
        <v>0</v>
      </c>
      <c r="AB243" s="130">
        <v>0</v>
      </c>
      <c r="AC243" s="184">
        <v>-1921</v>
      </c>
      <c r="AD243" s="183">
        <v>69</v>
      </c>
      <c r="AE243" s="184">
        <v>0</v>
      </c>
      <c r="AF243" s="183">
        <v>219</v>
      </c>
      <c r="AG243" s="183">
        <v>-1633</v>
      </c>
      <c r="AH243" s="183">
        <v>1155</v>
      </c>
      <c r="AI243" s="183">
        <v>1721</v>
      </c>
      <c r="AJ243" s="167"/>
      <c r="AK243" s="183">
        <v>452</v>
      </c>
      <c r="AL243" s="183">
        <v>-6275</v>
      </c>
      <c r="AM243" s="180">
        <v>-3304</v>
      </c>
      <c r="AN243" s="139">
        <v>36286</v>
      </c>
      <c r="AO243" s="138">
        <v>25952</v>
      </c>
      <c r="AP243" s="184">
        <v>2378</v>
      </c>
      <c r="AQ243" s="138">
        <v>7956</v>
      </c>
      <c r="AR243" s="109">
        <v>20</v>
      </c>
      <c r="AS243" s="144"/>
      <c r="AT243" s="139">
        <v>152</v>
      </c>
      <c r="AU243" s="228">
        <v>8303</v>
      </c>
      <c r="AV243" s="138"/>
      <c r="AW243" s="224">
        <v>0.11361113913833115</v>
      </c>
      <c r="AX243" s="225">
        <v>58.588637919233399</v>
      </c>
      <c r="AY243" s="139">
        <v>-4239.3110923762497</v>
      </c>
      <c r="AZ243" s="144"/>
      <c r="BA243"/>
      <c r="BC243" s="189">
        <v>39.936593064342674</v>
      </c>
      <c r="BD243" s="183">
        <v>567.98747440684099</v>
      </c>
      <c r="BE243" s="140">
        <v>20.570752518553043</v>
      </c>
      <c r="BF243" s="139">
        <v>10078.164518848609</v>
      </c>
      <c r="BG243" s="184">
        <v>35984</v>
      </c>
      <c r="BH243" s="216">
        <v>10460</v>
      </c>
      <c r="BI243" s="216">
        <v>73956</v>
      </c>
      <c r="BJ243" s="216">
        <v>-63496</v>
      </c>
      <c r="BK243" s="216">
        <v>37288</v>
      </c>
      <c r="BL243" s="216">
        <v>25302</v>
      </c>
      <c r="BM243" s="151"/>
      <c r="BO243" s="216">
        <v>-145</v>
      </c>
      <c r="BP243" s="216">
        <v>1258</v>
      </c>
      <c r="BQ243" s="216">
        <v>207</v>
      </c>
      <c r="BR243" s="216">
        <v>4377</v>
      </c>
      <c r="BS243" s="216">
        <v>0</v>
      </c>
      <c r="BT243" s="216">
        <v>0</v>
      </c>
      <c r="BU243" s="216">
        <v>-4170</v>
      </c>
      <c r="BV243" s="183">
        <v>44</v>
      </c>
      <c r="BW243" s="184">
        <v>1000</v>
      </c>
      <c r="BX243" s="183">
        <v>75</v>
      </c>
      <c r="BY243" s="183">
        <v>-3051</v>
      </c>
      <c r="BZ243" s="183">
        <v>-1895</v>
      </c>
      <c r="CA243" s="183">
        <v>135</v>
      </c>
      <c r="CB243" s="167"/>
      <c r="CC243" s="183">
        <v>1067</v>
      </c>
      <c r="CD243" s="183">
        <v>-6511</v>
      </c>
      <c r="CE243" s="180">
        <v>-2322</v>
      </c>
      <c r="CF243" s="139">
        <v>37288</v>
      </c>
      <c r="CG243" s="216">
        <v>26692</v>
      </c>
      <c r="CH243" s="216">
        <v>2681</v>
      </c>
      <c r="CI243" s="216">
        <v>7915</v>
      </c>
      <c r="CJ243" s="212">
        <v>20</v>
      </c>
      <c r="CK243" s="144"/>
      <c r="CL243" s="130">
        <v>220</v>
      </c>
      <c r="CM243" s="228">
        <v>8266</v>
      </c>
      <c r="CN243" s="138"/>
      <c r="CO243" s="142">
        <v>2.8887948066610218</v>
      </c>
      <c r="CP243" s="142">
        <v>52.931566306189879</v>
      </c>
      <c r="CQ243" s="183">
        <v>-3429.5910960561337</v>
      </c>
      <c r="CR243" s="144"/>
      <c r="CS243"/>
      <c r="CU243" s="232">
        <v>44.229343017159806</v>
      </c>
      <c r="CV243" s="143">
        <v>1424.8729736269054</v>
      </c>
      <c r="CW243" s="146">
        <v>53.672717738713544</v>
      </c>
      <c r="CX243" s="143">
        <v>9689.8136946527939</v>
      </c>
      <c r="CY243" s="131">
        <v>35861</v>
      </c>
      <c r="CZ243" s="229">
        <v>10399</v>
      </c>
      <c r="DA243" s="229">
        <v>73322</v>
      </c>
      <c r="DB243" s="216">
        <v>-62923</v>
      </c>
      <c r="DC243" s="229">
        <v>41214</v>
      </c>
      <c r="DD243" s="229">
        <v>30408</v>
      </c>
      <c r="DE243" s="151"/>
      <c r="DG243" s="229">
        <v>-123</v>
      </c>
      <c r="DH243" s="229">
        <v>1316</v>
      </c>
      <c r="DI243" s="229">
        <v>9892</v>
      </c>
      <c r="DJ243" s="229">
        <v>3897</v>
      </c>
      <c r="DK243" s="229">
        <v>0</v>
      </c>
      <c r="DL243" s="229">
        <v>0</v>
      </c>
      <c r="DM243" s="229">
        <v>5995</v>
      </c>
      <c r="DN243" s="130">
        <v>43</v>
      </c>
      <c r="DO243" s="131">
        <v>0</v>
      </c>
      <c r="DP243" s="130">
        <v>-1422</v>
      </c>
      <c r="DQ243" s="130">
        <v>4616</v>
      </c>
      <c r="DR243" s="130">
        <v>2721</v>
      </c>
      <c r="DS243" s="130">
        <v>9889</v>
      </c>
      <c r="DT243" s="167"/>
      <c r="DU243" s="183">
        <v>-597</v>
      </c>
      <c r="DV243" s="183">
        <v>-3200</v>
      </c>
      <c r="DW243" s="180">
        <v>6720</v>
      </c>
      <c r="DX243" s="130">
        <v>41214</v>
      </c>
      <c r="DY243" s="229">
        <v>29619</v>
      </c>
      <c r="DZ243" s="229">
        <v>4250</v>
      </c>
      <c r="EA243" s="229">
        <v>7345</v>
      </c>
      <c r="EB243" s="212">
        <v>21</v>
      </c>
      <c r="EC243" s="208"/>
      <c r="ED243" s="183">
        <v>10</v>
      </c>
      <c r="EE243" s="3">
        <v>26899</v>
      </c>
      <c r="EF243" s="183">
        <v>27560</v>
      </c>
      <c r="EG243" s="130">
        <v>26871</v>
      </c>
      <c r="EH243" s="130"/>
      <c r="EI243" s="130"/>
      <c r="EJ243" s="130">
        <v>1000</v>
      </c>
      <c r="EK243" s="183">
        <v>-6123</v>
      </c>
      <c r="EL243" s="183">
        <v>723</v>
      </c>
      <c r="EM243" s="183">
        <v>375</v>
      </c>
      <c r="EN243" s="226">
        <v>-2703</v>
      </c>
      <c r="EO243" s="226">
        <v>115</v>
      </c>
      <c r="EP243" s="226">
        <v>131</v>
      </c>
      <c r="EQ243" s="226">
        <v>-3043</v>
      </c>
      <c r="ER243" s="230">
        <v>56</v>
      </c>
      <c r="ES243" s="230">
        <v>-182</v>
      </c>
      <c r="ET243" s="3">
        <v>6000</v>
      </c>
      <c r="EU243" s="211">
        <v>3280</v>
      </c>
      <c r="EV243" s="183">
        <v>4500</v>
      </c>
      <c r="EW243" s="183">
        <v>5205</v>
      </c>
      <c r="EX243" s="130">
        <v>4400</v>
      </c>
      <c r="EY243" s="183">
        <v>-2000</v>
      </c>
      <c r="EZ243" s="3">
        <v>30511</v>
      </c>
      <c r="FA243" s="3">
        <v>27431</v>
      </c>
      <c r="FB243" s="3">
        <v>3080</v>
      </c>
      <c r="FC243" s="3">
        <v>8371</v>
      </c>
      <c r="FD243" s="226">
        <v>33706</v>
      </c>
      <c r="FE243" s="183">
        <v>28726</v>
      </c>
      <c r="FF243" s="183">
        <v>4980</v>
      </c>
      <c r="FG243" s="183">
        <v>8076</v>
      </c>
      <c r="FH243" s="230">
        <v>32906</v>
      </c>
      <c r="FI243" s="130">
        <v>29520</v>
      </c>
      <c r="FJ243" s="130">
        <v>3386</v>
      </c>
      <c r="FK243" s="130">
        <v>8018</v>
      </c>
      <c r="FL243" s="29">
        <v>6837.7546186641403</v>
      </c>
      <c r="FM243" s="139">
        <v>7197.6394074430928</v>
      </c>
      <c r="FN243" s="139">
        <v>7085.5310912170335</v>
      </c>
      <c r="FO243" s="172">
        <f t="shared" si="9"/>
        <v>1410.4285714285713</v>
      </c>
      <c r="FP243" s="170">
        <f t="shared" si="10"/>
        <v>170.63011994054818</v>
      </c>
      <c r="FR243" s="175"/>
      <c r="FS243" s="195"/>
      <c r="FV243" s="175">
        <v>2821</v>
      </c>
      <c r="FW243" s="2">
        <f t="shared" si="11"/>
        <v>-2821</v>
      </c>
      <c r="FZ243" s="186"/>
      <c r="GA243" s="2"/>
      <c r="GB243" s="2"/>
    </row>
    <row r="244" spans="1:184" ht="13" x14ac:dyDescent="0.3">
      <c r="A244" s="77">
        <v>759</v>
      </c>
      <c r="B244" s="75" t="s">
        <v>233</v>
      </c>
      <c r="C244" s="179">
        <v>2085</v>
      </c>
      <c r="D244" s="138"/>
      <c r="E244" s="142">
        <v>0.64051841746248295</v>
      </c>
      <c r="F244" s="142">
        <v>58.805317792751772</v>
      </c>
      <c r="G244" s="183">
        <v>-4003.3573141486809</v>
      </c>
      <c r="H244" s="144"/>
      <c r="I244" s="186"/>
      <c r="K244" s="210">
        <v>48.219134323590481</v>
      </c>
      <c r="L244" s="143">
        <v>227.3381294964029</v>
      </c>
      <c r="M244" s="146">
        <v>9.5217391304347814</v>
      </c>
      <c r="N244" s="143">
        <v>8714.628297362111</v>
      </c>
      <c r="O244" s="138">
        <v>4070</v>
      </c>
      <c r="P244" s="143">
        <v>2557</v>
      </c>
      <c r="Q244" s="184">
        <v>15627</v>
      </c>
      <c r="R244" s="184">
        <v>-13070</v>
      </c>
      <c r="S244" s="139">
        <v>5796</v>
      </c>
      <c r="T244" s="138">
        <v>8120</v>
      </c>
      <c r="U244" s="151"/>
      <c r="W244" s="183">
        <v>-77</v>
      </c>
      <c r="X244" s="183">
        <v>82</v>
      </c>
      <c r="Y244" s="184">
        <v>851</v>
      </c>
      <c r="Z244" s="130">
        <v>478</v>
      </c>
      <c r="AA244" s="131">
        <v>0</v>
      </c>
      <c r="AB244" s="130">
        <v>0</v>
      </c>
      <c r="AC244" s="184">
        <v>373</v>
      </c>
      <c r="AD244" s="183">
        <v>0</v>
      </c>
      <c r="AE244" s="183">
        <v>0</v>
      </c>
      <c r="AF244" s="183">
        <v>0</v>
      </c>
      <c r="AG244" s="183">
        <v>373</v>
      </c>
      <c r="AH244" s="183">
        <v>2880</v>
      </c>
      <c r="AI244" s="183">
        <v>803</v>
      </c>
      <c r="AJ244" s="167"/>
      <c r="AK244" s="183">
        <v>68</v>
      </c>
      <c r="AL244" s="183">
        <v>-1378</v>
      </c>
      <c r="AM244" s="180">
        <v>452</v>
      </c>
      <c r="AN244" s="139">
        <v>5796</v>
      </c>
      <c r="AO244" s="138">
        <v>4720</v>
      </c>
      <c r="AP244" s="184">
        <v>588</v>
      </c>
      <c r="AQ244" s="138">
        <v>488</v>
      </c>
      <c r="AR244" s="109">
        <v>21.75</v>
      </c>
      <c r="AS244" s="144"/>
      <c r="AT244" s="139">
        <v>68</v>
      </c>
      <c r="AU244" s="228">
        <v>2052</v>
      </c>
      <c r="AV244" s="138"/>
      <c r="AW244" s="224">
        <v>0.44643256542160592</v>
      </c>
      <c r="AX244" s="225">
        <v>57.930140705998518</v>
      </c>
      <c r="AY244" s="139">
        <v>-2859.6491228070176</v>
      </c>
      <c r="AZ244" s="144"/>
      <c r="BA244"/>
      <c r="BC244" s="189">
        <v>53.668845530053574</v>
      </c>
      <c r="BD244" s="183">
        <v>340.15594541910332</v>
      </c>
      <c r="BE244" s="140">
        <v>14.427204258451781</v>
      </c>
      <c r="BF244" s="139">
        <v>8605.7504873294347</v>
      </c>
      <c r="BG244" s="184">
        <v>3939</v>
      </c>
      <c r="BH244" s="216">
        <v>2351</v>
      </c>
      <c r="BI244" s="216">
        <v>15793</v>
      </c>
      <c r="BJ244" s="216">
        <v>-13442</v>
      </c>
      <c r="BK244" s="216">
        <v>6157</v>
      </c>
      <c r="BL244" s="216">
        <v>7696</v>
      </c>
      <c r="BM244" s="151"/>
      <c r="BO244" s="216">
        <v>-68</v>
      </c>
      <c r="BP244" s="216">
        <v>81</v>
      </c>
      <c r="BQ244" s="216">
        <v>424</v>
      </c>
      <c r="BR244" s="216">
        <v>490</v>
      </c>
      <c r="BS244" s="216">
        <v>1929</v>
      </c>
      <c r="BT244" s="216">
        <v>0</v>
      </c>
      <c r="BU244" s="216">
        <v>1863</v>
      </c>
      <c r="BV244" s="183">
        <v>0</v>
      </c>
      <c r="BW244" s="183">
        <v>0</v>
      </c>
      <c r="BX244" s="183">
        <v>0</v>
      </c>
      <c r="BY244" s="183">
        <v>1863</v>
      </c>
      <c r="BZ244" s="183">
        <v>4743</v>
      </c>
      <c r="CA244" s="183">
        <v>2342</v>
      </c>
      <c r="CB244" s="167"/>
      <c r="CC244" s="183">
        <v>-1955</v>
      </c>
      <c r="CD244" s="183">
        <v>-1551</v>
      </c>
      <c r="CE244" s="180">
        <v>2158</v>
      </c>
      <c r="CF244" s="139">
        <v>6157</v>
      </c>
      <c r="CG244" s="216">
        <v>4966</v>
      </c>
      <c r="CH244" s="216">
        <v>604</v>
      </c>
      <c r="CI244" s="216">
        <v>587</v>
      </c>
      <c r="CJ244" s="212">
        <v>21.75</v>
      </c>
      <c r="CK244" s="144"/>
      <c r="CL244" s="130">
        <v>124</v>
      </c>
      <c r="CM244" s="228">
        <v>2007</v>
      </c>
      <c r="CN244" s="138"/>
      <c r="CO244" s="142">
        <v>0.40542328042328041</v>
      </c>
      <c r="CP244" s="142">
        <v>48.654480071920887</v>
      </c>
      <c r="CQ244" s="183">
        <v>-3137.0204285002492</v>
      </c>
      <c r="CR244" s="144"/>
      <c r="CS244"/>
      <c r="CU244" s="232">
        <v>57.397346149827605</v>
      </c>
      <c r="CV244" s="143">
        <v>361.23567513702045</v>
      </c>
      <c r="CW244" s="146">
        <v>13.867054446365875</v>
      </c>
      <c r="CX244" s="143">
        <v>9508.2212257100146</v>
      </c>
      <c r="CY244" s="131">
        <v>4068</v>
      </c>
      <c r="CZ244" s="229">
        <v>2242</v>
      </c>
      <c r="DA244" s="229">
        <v>16113</v>
      </c>
      <c r="DB244" s="216">
        <v>-13871</v>
      </c>
      <c r="DC244" s="229">
        <v>6258</v>
      </c>
      <c r="DD244" s="229">
        <v>8185</v>
      </c>
      <c r="DE244" s="151"/>
      <c r="DG244" s="229">
        <v>-47</v>
      </c>
      <c r="DH244" s="229">
        <v>32</v>
      </c>
      <c r="DI244" s="229">
        <v>557</v>
      </c>
      <c r="DJ244" s="229">
        <v>490</v>
      </c>
      <c r="DK244" s="229">
        <v>0</v>
      </c>
      <c r="DL244" s="229">
        <v>0</v>
      </c>
      <c r="DM244" s="229">
        <v>67</v>
      </c>
      <c r="DN244" s="130">
        <v>0</v>
      </c>
      <c r="DO244" s="130">
        <v>0</v>
      </c>
      <c r="DP244" s="130">
        <v>0</v>
      </c>
      <c r="DQ244" s="130">
        <v>67</v>
      </c>
      <c r="DR244" s="130">
        <v>4810</v>
      </c>
      <c r="DS244" s="130">
        <v>550</v>
      </c>
      <c r="DT244" s="167"/>
      <c r="DU244" s="183">
        <v>1723</v>
      </c>
      <c r="DV244" s="183">
        <v>-1456</v>
      </c>
      <c r="DW244" s="180">
        <v>-424</v>
      </c>
      <c r="DX244" s="130">
        <v>6258</v>
      </c>
      <c r="DY244" s="229">
        <v>5010</v>
      </c>
      <c r="DZ244" s="229">
        <v>722</v>
      </c>
      <c r="EA244" s="229">
        <v>526</v>
      </c>
      <c r="EB244" s="212">
        <v>21.75</v>
      </c>
      <c r="EC244" s="208"/>
      <c r="ED244" s="183">
        <v>278.66176470588198</v>
      </c>
      <c r="EE244" s="3">
        <v>9970</v>
      </c>
      <c r="EF244" s="183">
        <v>10237</v>
      </c>
      <c r="EG244" s="130">
        <v>10553</v>
      </c>
      <c r="EH244" s="130"/>
      <c r="EI244" s="130"/>
      <c r="EJ244" s="130"/>
      <c r="EK244" s="183">
        <v>-1007</v>
      </c>
      <c r="EL244" s="183">
        <v>0</v>
      </c>
      <c r="EM244" s="183">
        <v>656</v>
      </c>
      <c r="EN244" s="226">
        <v>-239</v>
      </c>
      <c r="EO244" s="226">
        <v>8</v>
      </c>
      <c r="EP244" s="226">
        <v>47</v>
      </c>
      <c r="EQ244" s="226">
        <v>-1457</v>
      </c>
      <c r="ER244" s="230">
        <v>400</v>
      </c>
      <c r="ES244" s="230">
        <v>83</v>
      </c>
      <c r="ET244" s="3">
        <v>3000</v>
      </c>
      <c r="EU244" s="211">
        <v>-2900</v>
      </c>
      <c r="EV244" s="183">
        <v>1500</v>
      </c>
      <c r="EW244" s="183">
        <v>-100</v>
      </c>
      <c r="EX244" s="130">
        <v>0</v>
      </c>
      <c r="EY244" s="183">
        <v>-200</v>
      </c>
      <c r="EZ244" s="3">
        <v>8183</v>
      </c>
      <c r="FA244" s="3">
        <v>5532</v>
      </c>
      <c r="FB244" s="3">
        <v>2651</v>
      </c>
      <c r="FC244" s="3">
        <v>1017</v>
      </c>
      <c r="FD244" s="226">
        <v>8031</v>
      </c>
      <c r="FE244" s="183">
        <v>5575</v>
      </c>
      <c r="FF244" s="183">
        <v>2456</v>
      </c>
      <c r="FG244" s="183">
        <v>719</v>
      </c>
      <c r="FH244" s="230">
        <v>6375</v>
      </c>
      <c r="FI244" s="130">
        <v>4292</v>
      </c>
      <c r="FJ244" s="130">
        <v>2083</v>
      </c>
      <c r="FK244" s="130">
        <v>717</v>
      </c>
      <c r="FL244" s="29">
        <v>6262.3501199040766</v>
      </c>
      <c r="FM244" s="139">
        <v>6449.805068226121</v>
      </c>
      <c r="FN244" s="139">
        <v>6030.8918784255102</v>
      </c>
      <c r="FO244" s="172">
        <f t="shared" si="9"/>
        <v>230.34482758620689</v>
      </c>
      <c r="FP244" s="170">
        <f t="shared" si="10"/>
        <v>114.77071628610209</v>
      </c>
      <c r="FR244" s="175"/>
      <c r="FS244" s="195"/>
      <c r="FV244" s="175">
        <v>1835</v>
      </c>
      <c r="FW244" s="2">
        <f t="shared" si="11"/>
        <v>-1835</v>
      </c>
      <c r="FZ244" s="186"/>
      <c r="GA244" s="2"/>
      <c r="GB244" s="2"/>
    </row>
    <row r="245" spans="1:184" ht="13" x14ac:dyDescent="0.3">
      <c r="A245" s="77">
        <v>761</v>
      </c>
      <c r="B245" s="75" t="s">
        <v>234</v>
      </c>
      <c r="C245" s="179">
        <v>8828</v>
      </c>
      <c r="D245" s="138"/>
      <c r="E245" s="142">
        <v>1.1800288046087375</v>
      </c>
      <c r="F245" s="142">
        <v>47.823319132265802</v>
      </c>
      <c r="G245" s="183">
        <v>-2321.3638423198913</v>
      </c>
      <c r="H245" s="144"/>
      <c r="I245" s="186"/>
      <c r="K245" s="210">
        <v>65.041411839046731</v>
      </c>
      <c r="L245" s="143">
        <v>539.42002718622564</v>
      </c>
      <c r="M245" s="146">
        <v>25.436172859379802</v>
      </c>
      <c r="N245" s="143">
        <v>7740.4848210240143</v>
      </c>
      <c r="O245" s="138">
        <v>24575</v>
      </c>
      <c r="P245" s="143">
        <v>9289</v>
      </c>
      <c r="Q245" s="184">
        <v>58982</v>
      </c>
      <c r="R245" s="184">
        <v>-49693</v>
      </c>
      <c r="S245" s="139">
        <v>26712</v>
      </c>
      <c r="T245" s="138">
        <v>25262</v>
      </c>
      <c r="U245" s="151"/>
      <c r="W245" s="183">
        <v>-93</v>
      </c>
      <c r="X245" s="183">
        <v>176</v>
      </c>
      <c r="Y245" s="184">
        <v>2364</v>
      </c>
      <c r="Z245" s="130">
        <v>3151</v>
      </c>
      <c r="AA245" s="131">
        <v>70</v>
      </c>
      <c r="AB245" s="131">
        <v>0</v>
      </c>
      <c r="AC245" s="184">
        <v>-717</v>
      </c>
      <c r="AD245" s="184">
        <v>0</v>
      </c>
      <c r="AE245" s="183">
        <v>0</v>
      </c>
      <c r="AF245" s="184">
        <v>0</v>
      </c>
      <c r="AG245" s="183">
        <v>-717</v>
      </c>
      <c r="AH245" s="183">
        <v>29694</v>
      </c>
      <c r="AI245" s="183">
        <v>2369</v>
      </c>
      <c r="AJ245" s="167"/>
      <c r="AK245" s="183">
        <v>-127</v>
      </c>
      <c r="AL245" s="183">
        <v>-1989</v>
      </c>
      <c r="AM245" s="180">
        <v>-2330</v>
      </c>
      <c r="AN245" s="139">
        <v>26712</v>
      </c>
      <c r="AO245" s="138">
        <v>23637</v>
      </c>
      <c r="AP245" s="184">
        <v>1259</v>
      </c>
      <c r="AQ245" s="138">
        <v>1816</v>
      </c>
      <c r="AR245" s="109">
        <v>20</v>
      </c>
      <c r="AS245" s="144"/>
      <c r="AT245" s="139">
        <v>127</v>
      </c>
      <c r="AU245" s="228">
        <v>8711</v>
      </c>
      <c r="AV245" s="138"/>
      <c r="AW245" s="224">
        <v>0.39758745476477686</v>
      </c>
      <c r="AX245" s="225">
        <v>44.958857618544485</v>
      </c>
      <c r="AY245" s="139">
        <v>-2500.05739869131</v>
      </c>
      <c r="AZ245" s="144"/>
      <c r="BA245"/>
      <c r="BC245" s="189">
        <v>65.123511118934459</v>
      </c>
      <c r="BD245" s="183">
        <v>260.36046378142578</v>
      </c>
      <c r="BE245" s="140">
        <v>12.457600337090488</v>
      </c>
      <c r="BF245" s="139">
        <v>7628.4008724601081</v>
      </c>
      <c r="BG245" s="184">
        <v>25578</v>
      </c>
      <c r="BH245" s="216">
        <v>9306</v>
      </c>
      <c r="BI245" s="216">
        <v>61394</v>
      </c>
      <c r="BJ245" s="216">
        <v>-52088</v>
      </c>
      <c r="BK245" s="216">
        <v>27510</v>
      </c>
      <c r="BL245" s="216">
        <v>25650</v>
      </c>
      <c r="BM245" s="151"/>
      <c r="BO245" s="216">
        <v>-98</v>
      </c>
      <c r="BP245" s="216">
        <v>163</v>
      </c>
      <c r="BQ245" s="216">
        <v>1137</v>
      </c>
      <c r="BR245" s="216">
        <v>3283</v>
      </c>
      <c r="BS245" s="216">
        <v>0</v>
      </c>
      <c r="BT245" s="216">
        <v>0</v>
      </c>
      <c r="BU245" s="216">
        <v>-2146</v>
      </c>
      <c r="BV245" s="184">
        <v>0</v>
      </c>
      <c r="BW245" s="183">
        <v>0</v>
      </c>
      <c r="BX245" s="184">
        <v>0</v>
      </c>
      <c r="BY245" s="183">
        <v>-2146</v>
      </c>
      <c r="BZ245" s="183">
        <v>27548</v>
      </c>
      <c r="CA245" s="183">
        <v>1065</v>
      </c>
      <c r="CB245" s="167"/>
      <c r="CC245" s="183">
        <v>6</v>
      </c>
      <c r="CD245" s="183">
        <v>-2072</v>
      </c>
      <c r="CE245" s="180">
        <v>-1257</v>
      </c>
      <c r="CF245" s="139">
        <v>27510</v>
      </c>
      <c r="CG245" s="216">
        <v>24284</v>
      </c>
      <c r="CH245" s="216">
        <v>1382</v>
      </c>
      <c r="CI245" s="216">
        <v>1844</v>
      </c>
      <c r="CJ245" s="212">
        <v>20</v>
      </c>
      <c r="CK245" s="144"/>
      <c r="CL245" s="130">
        <v>166</v>
      </c>
      <c r="CM245" s="228">
        <v>8646</v>
      </c>
      <c r="CN245" s="138"/>
      <c r="CO245" s="142">
        <v>2.5865224625623959</v>
      </c>
      <c r="CP245" s="142">
        <v>35.929737930213882</v>
      </c>
      <c r="CQ245" s="183">
        <v>-1847.7908859588249</v>
      </c>
      <c r="CR245" s="144"/>
      <c r="CS245"/>
      <c r="CU245" s="232">
        <v>69.397687614254167</v>
      </c>
      <c r="CV245" s="143">
        <v>562.68794818413141</v>
      </c>
      <c r="CW245" s="146">
        <v>27.742235345581804</v>
      </c>
      <c r="CX245" s="143">
        <v>7403.1922276197083</v>
      </c>
      <c r="CY245" s="131">
        <v>25545</v>
      </c>
      <c r="CZ245" s="229">
        <v>9006</v>
      </c>
      <c r="DA245" s="229">
        <v>61130</v>
      </c>
      <c r="DB245" s="216">
        <v>-52124</v>
      </c>
      <c r="DC245" s="229">
        <v>28930</v>
      </c>
      <c r="DD245" s="229">
        <v>29298</v>
      </c>
      <c r="DE245" s="151"/>
      <c r="DG245" s="229">
        <v>-87</v>
      </c>
      <c r="DH245" s="229">
        <v>113</v>
      </c>
      <c r="DI245" s="229">
        <v>6130</v>
      </c>
      <c r="DJ245" s="229">
        <v>3163</v>
      </c>
      <c r="DK245" s="229">
        <v>0</v>
      </c>
      <c r="DL245" s="229">
        <v>0</v>
      </c>
      <c r="DM245" s="229">
        <v>2967</v>
      </c>
      <c r="DN245" s="131">
        <v>0</v>
      </c>
      <c r="DO245" s="130">
        <v>0</v>
      </c>
      <c r="DP245" s="131">
        <v>0</v>
      </c>
      <c r="DQ245" s="130">
        <v>2967</v>
      </c>
      <c r="DR245" s="130">
        <v>30515</v>
      </c>
      <c r="DS245" s="130">
        <v>6123</v>
      </c>
      <c r="DT245" s="167"/>
      <c r="DU245" s="183">
        <v>721</v>
      </c>
      <c r="DV245" s="183">
        <v>-2316</v>
      </c>
      <c r="DW245" s="180">
        <v>5683</v>
      </c>
      <c r="DX245" s="130">
        <v>28930</v>
      </c>
      <c r="DY245" s="229">
        <v>25752</v>
      </c>
      <c r="DZ245" s="229">
        <v>1515</v>
      </c>
      <c r="EA245" s="229">
        <v>1663</v>
      </c>
      <c r="EB245" s="212">
        <v>20.5</v>
      </c>
      <c r="EC245" s="208"/>
      <c r="ED245" s="183">
        <v>130.58088235294099</v>
      </c>
      <c r="EE245" s="3">
        <v>26215</v>
      </c>
      <c r="EF245" s="183">
        <v>27497</v>
      </c>
      <c r="EG245" s="130">
        <v>27499</v>
      </c>
      <c r="EH245" s="130"/>
      <c r="EI245" s="130"/>
      <c r="EJ245" s="130"/>
      <c r="EK245" s="183">
        <v>-7061</v>
      </c>
      <c r="EL245" s="183">
        <v>305</v>
      </c>
      <c r="EM245" s="183">
        <v>2057</v>
      </c>
      <c r="EN245" s="226">
        <v>-2866</v>
      </c>
      <c r="EO245" s="226">
        <v>397</v>
      </c>
      <c r="EP245" s="226">
        <v>147</v>
      </c>
      <c r="EQ245" s="226">
        <v>-463</v>
      </c>
      <c r="ER245" s="230">
        <v>0</v>
      </c>
      <c r="ES245" s="230">
        <v>23</v>
      </c>
      <c r="ET245" s="3">
        <v>5000</v>
      </c>
      <c r="EU245" s="211">
        <v>1000</v>
      </c>
      <c r="EV245" s="183">
        <v>0</v>
      </c>
      <c r="EW245" s="183">
        <v>800</v>
      </c>
      <c r="EX245" s="130">
        <v>0</v>
      </c>
      <c r="EY245" s="183">
        <v>-1800</v>
      </c>
      <c r="EZ245" s="3">
        <v>22969</v>
      </c>
      <c r="FA245" s="3">
        <v>19897</v>
      </c>
      <c r="FB245" s="3">
        <v>3072</v>
      </c>
      <c r="FC245" s="3">
        <v>811</v>
      </c>
      <c r="FD245" s="226">
        <v>21697</v>
      </c>
      <c r="FE245" s="183">
        <v>17581</v>
      </c>
      <c r="FF245" s="183">
        <v>4116</v>
      </c>
      <c r="FG245" s="183">
        <v>795</v>
      </c>
      <c r="FH245" s="230">
        <v>17580</v>
      </c>
      <c r="FI245" s="130">
        <v>15264</v>
      </c>
      <c r="FJ245" s="130">
        <v>2316</v>
      </c>
      <c r="FK245" s="130">
        <v>780</v>
      </c>
      <c r="FL245" s="29">
        <v>3861.0104213864975</v>
      </c>
      <c r="FM245" s="139">
        <v>3660.5441395936173</v>
      </c>
      <c r="FN245" s="139">
        <v>3073.7913486005086</v>
      </c>
      <c r="FO245" s="172">
        <f t="shared" si="9"/>
        <v>1256.1951219512196</v>
      </c>
      <c r="FP245" s="170">
        <f t="shared" si="10"/>
        <v>145.29205666796432</v>
      </c>
      <c r="FR245" s="175"/>
      <c r="FS245" s="195"/>
      <c r="FV245" s="175">
        <v>484</v>
      </c>
      <c r="FW245" s="2">
        <f t="shared" si="11"/>
        <v>-484</v>
      </c>
      <c r="FZ245" s="186"/>
      <c r="GA245" s="2"/>
      <c r="GB245" s="2"/>
    </row>
    <row r="246" spans="1:184" ht="13" x14ac:dyDescent="0.3">
      <c r="A246" s="77">
        <v>762</v>
      </c>
      <c r="B246" s="75" t="s">
        <v>235</v>
      </c>
      <c r="C246" s="179">
        <v>3967</v>
      </c>
      <c r="D246" s="138"/>
      <c r="E246" s="142">
        <v>1.9012115563839702</v>
      </c>
      <c r="F246" s="142">
        <v>40.276406712734449</v>
      </c>
      <c r="G246" s="183">
        <v>-2730.0226871691457</v>
      </c>
      <c r="H246" s="144"/>
      <c r="I246" s="186"/>
      <c r="K246" s="210">
        <v>52.300137213836933</v>
      </c>
      <c r="L246" s="143">
        <v>277.53970254600449</v>
      </c>
      <c r="M246" s="146">
        <v>12.368882733148661</v>
      </c>
      <c r="N246" s="143">
        <v>8190.0680615074361</v>
      </c>
      <c r="O246" s="138">
        <v>7224</v>
      </c>
      <c r="P246" s="143">
        <v>3550</v>
      </c>
      <c r="Q246" s="184">
        <v>29853</v>
      </c>
      <c r="R246" s="184">
        <v>-26303</v>
      </c>
      <c r="S246" s="139">
        <v>12221</v>
      </c>
      <c r="T246" s="138">
        <v>15657</v>
      </c>
      <c r="U246" s="151"/>
      <c r="W246" s="183">
        <v>-56</v>
      </c>
      <c r="X246" s="183">
        <v>457</v>
      </c>
      <c r="Y246" s="184">
        <v>1976</v>
      </c>
      <c r="Z246" s="130">
        <v>1291</v>
      </c>
      <c r="AA246" s="130">
        <v>0</v>
      </c>
      <c r="AB246" s="130">
        <v>0</v>
      </c>
      <c r="AC246" s="184">
        <v>685</v>
      </c>
      <c r="AD246" s="183">
        <v>67</v>
      </c>
      <c r="AE246" s="183">
        <v>-645</v>
      </c>
      <c r="AF246" s="183">
        <v>0</v>
      </c>
      <c r="AG246" s="183">
        <v>107</v>
      </c>
      <c r="AH246" s="183">
        <v>2922</v>
      </c>
      <c r="AI246" s="183">
        <v>1976</v>
      </c>
      <c r="AJ246" s="167"/>
      <c r="AK246" s="183">
        <v>570</v>
      </c>
      <c r="AL246" s="183">
        <v>-1009</v>
      </c>
      <c r="AM246" s="180">
        <v>414</v>
      </c>
      <c r="AN246" s="139">
        <v>12221</v>
      </c>
      <c r="AO246" s="138">
        <v>9416</v>
      </c>
      <c r="AP246" s="184">
        <v>1946</v>
      </c>
      <c r="AQ246" s="138">
        <v>859</v>
      </c>
      <c r="AR246" s="109">
        <v>20.5</v>
      </c>
      <c r="AS246" s="144"/>
      <c r="AT246" s="139">
        <v>46</v>
      </c>
      <c r="AU246" s="228">
        <v>3897</v>
      </c>
      <c r="AV246" s="138"/>
      <c r="AW246" s="224">
        <v>1.3735343383584591</v>
      </c>
      <c r="AX246" s="225">
        <v>39.817409098063905</v>
      </c>
      <c r="AY246" s="139">
        <v>-2911.9835771105977</v>
      </c>
      <c r="AZ246" s="144"/>
      <c r="BA246"/>
      <c r="BC246" s="189">
        <v>53.427546931027209</v>
      </c>
      <c r="BD246" s="183">
        <v>80.318193482165768</v>
      </c>
      <c r="BE246" s="140">
        <v>3.3756352676988537</v>
      </c>
      <c r="BF246" s="139">
        <v>8684.629201950218</v>
      </c>
      <c r="BG246" s="184">
        <v>7277</v>
      </c>
      <c r="BH246" s="216">
        <v>3796</v>
      </c>
      <c r="BI246" s="216">
        <v>30177</v>
      </c>
      <c r="BJ246" s="216">
        <v>-26353</v>
      </c>
      <c r="BK246" s="216">
        <v>12728</v>
      </c>
      <c r="BL246" s="216">
        <v>15241</v>
      </c>
      <c r="BM246" s="151"/>
      <c r="BO246" s="216">
        <v>-53</v>
      </c>
      <c r="BP246" s="216">
        <v>430</v>
      </c>
      <c r="BQ246" s="216">
        <v>1993</v>
      </c>
      <c r="BR246" s="216">
        <v>1279</v>
      </c>
      <c r="BS246" s="216">
        <v>0</v>
      </c>
      <c r="BT246" s="216">
        <v>0</v>
      </c>
      <c r="BU246" s="216">
        <v>714</v>
      </c>
      <c r="BV246" s="183">
        <v>-579</v>
      </c>
      <c r="BW246" s="183">
        <v>295</v>
      </c>
      <c r="BX246" s="183">
        <v>0</v>
      </c>
      <c r="BY246" s="183">
        <v>430</v>
      </c>
      <c r="BZ246" s="183">
        <v>3352</v>
      </c>
      <c r="CA246" s="183">
        <v>2071</v>
      </c>
      <c r="CB246" s="167"/>
      <c r="CC246" s="183">
        <v>-270</v>
      </c>
      <c r="CD246" s="183">
        <v>-1012</v>
      </c>
      <c r="CE246" s="180">
        <v>-506</v>
      </c>
      <c r="CF246" s="139">
        <v>12728</v>
      </c>
      <c r="CG246" s="216">
        <v>9786</v>
      </c>
      <c r="CH246" s="216">
        <v>2069</v>
      </c>
      <c r="CI246" s="216">
        <v>873</v>
      </c>
      <c r="CJ246" s="212">
        <v>20.5</v>
      </c>
      <c r="CK246" s="144"/>
      <c r="CL246" s="130">
        <v>28</v>
      </c>
      <c r="CM246" s="228">
        <v>3841</v>
      </c>
      <c r="CN246" s="138"/>
      <c r="CO246" s="142">
        <v>4.052956751985878</v>
      </c>
      <c r="CP246" s="142">
        <v>31.205154488212038</v>
      </c>
      <c r="CQ246" s="183">
        <v>-2079.4064045821401</v>
      </c>
      <c r="CR246" s="144"/>
      <c r="CS246"/>
      <c r="CU246" s="232">
        <v>61.929516608155552</v>
      </c>
      <c r="CV246" s="143">
        <v>417.85993230929444</v>
      </c>
      <c r="CW246" s="146">
        <v>18.073209107175913</v>
      </c>
      <c r="CX246" s="143">
        <v>8438.948190575371</v>
      </c>
      <c r="CY246" s="131">
        <v>6990</v>
      </c>
      <c r="CZ246" s="229">
        <v>3744</v>
      </c>
      <c r="DA246" s="229">
        <v>30035</v>
      </c>
      <c r="DB246" s="216">
        <v>-26291</v>
      </c>
      <c r="DC246" s="229">
        <v>13896</v>
      </c>
      <c r="DD246" s="229">
        <v>16523</v>
      </c>
      <c r="DE246" s="151"/>
      <c r="DG246" s="229">
        <v>-50</v>
      </c>
      <c r="DH246" s="229">
        <v>461</v>
      </c>
      <c r="DI246" s="229">
        <v>4539</v>
      </c>
      <c r="DJ246" s="229">
        <v>1390</v>
      </c>
      <c r="DK246" s="229">
        <v>0</v>
      </c>
      <c r="DL246" s="229">
        <v>0</v>
      </c>
      <c r="DM246" s="229">
        <v>3149</v>
      </c>
      <c r="DN246" s="130">
        <v>-141</v>
      </c>
      <c r="DO246" s="130">
        <v>-950</v>
      </c>
      <c r="DP246" s="130">
        <v>0</v>
      </c>
      <c r="DQ246" s="130">
        <v>2058</v>
      </c>
      <c r="DR246" s="130">
        <v>5409</v>
      </c>
      <c r="DS246" s="130">
        <v>4577</v>
      </c>
      <c r="DT246" s="167"/>
      <c r="DU246" s="183">
        <v>-76</v>
      </c>
      <c r="DV246" s="183">
        <v>-1080</v>
      </c>
      <c r="DW246" s="180">
        <v>3371</v>
      </c>
      <c r="DX246" s="130">
        <v>13896</v>
      </c>
      <c r="DY246" s="229">
        <v>10099</v>
      </c>
      <c r="DZ246" s="229">
        <v>2741</v>
      </c>
      <c r="EA246" s="229">
        <v>1056</v>
      </c>
      <c r="EB246" s="212">
        <v>21.25</v>
      </c>
      <c r="EC246" s="208"/>
      <c r="ED246" s="183">
        <v>12</v>
      </c>
      <c r="EE246" s="3">
        <v>19960</v>
      </c>
      <c r="EF246" s="183">
        <v>19927</v>
      </c>
      <c r="EG246" s="130">
        <v>20115</v>
      </c>
      <c r="EH246" s="130"/>
      <c r="EI246" s="130"/>
      <c r="EJ246" s="130"/>
      <c r="EK246" s="183">
        <v>-1562</v>
      </c>
      <c r="EL246" s="183">
        <v>0</v>
      </c>
      <c r="EM246" s="183">
        <v>0</v>
      </c>
      <c r="EN246" s="226">
        <v>-2624</v>
      </c>
      <c r="EO246" s="226">
        <v>45</v>
      </c>
      <c r="EP246" s="226">
        <v>2</v>
      </c>
      <c r="EQ246" s="226">
        <v>-1255</v>
      </c>
      <c r="ER246" s="230">
        <v>49</v>
      </c>
      <c r="ES246" s="230">
        <v>0</v>
      </c>
      <c r="ET246" s="3">
        <v>0</v>
      </c>
      <c r="EU246" s="211">
        <v>-300</v>
      </c>
      <c r="EV246" s="183">
        <v>4000</v>
      </c>
      <c r="EW246" s="183">
        <v>-2700</v>
      </c>
      <c r="EX246" s="130">
        <v>0</v>
      </c>
      <c r="EY246" s="183">
        <v>-1000</v>
      </c>
      <c r="EZ246" s="3">
        <v>10543</v>
      </c>
      <c r="FA246" s="3">
        <v>5831</v>
      </c>
      <c r="FB246" s="3">
        <v>4712</v>
      </c>
      <c r="FC246" s="3">
        <v>186</v>
      </c>
      <c r="FD246" s="226">
        <v>10832</v>
      </c>
      <c r="FE246" s="183">
        <v>8751</v>
      </c>
      <c r="FF246" s="183">
        <v>2081</v>
      </c>
      <c r="FG246" s="183">
        <v>91</v>
      </c>
      <c r="FH246" s="230">
        <v>8752</v>
      </c>
      <c r="FI246" s="130">
        <v>7907</v>
      </c>
      <c r="FJ246" s="130">
        <v>845</v>
      </c>
      <c r="FK246" s="130">
        <v>83</v>
      </c>
      <c r="FL246" s="29">
        <v>5645.0718427022939</v>
      </c>
      <c r="FM246" s="139">
        <v>5746.7282525019245</v>
      </c>
      <c r="FN246" s="139">
        <v>5308.513407966675</v>
      </c>
      <c r="FO246" s="172">
        <f t="shared" si="9"/>
        <v>475.24705882352941</v>
      </c>
      <c r="FP246" s="170">
        <f t="shared" si="10"/>
        <v>123.73003353905999</v>
      </c>
      <c r="FR246" s="175"/>
      <c r="FS246" s="195"/>
      <c r="FV246" s="175">
        <v>958</v>
      </c>
      <c r="FW246" s="2">
        <f t="shared" si="11"/>
        <v>-958</v>
      </c>
      <c r="FZ246" s="186"/>
      <c r="GA246" s="2"/>
      <c r="GB246" s="2"/>
    </row>
    <row r="247" spans="1:184" ht="13" x14ac:dyDescent="0.3">
      <c r="A247" s="77">
        <v>765</v>
      </c>
      <c r="B247" s="75" t="s">
        <v>236</v>
      </c>
      <c r="C247" s="179">
        <v>10389</v>
      </c>
      <c r="D247" s="138"/>
      <c r="E247" s="142">
        <v>-0.17303764225269916</v>
      </c>
      <c r="F247" s="142">
        <v>53.526831785345721</v>
      </c>
      <c r="G247" s="183">
        <v>-3392.9155837905478</v>
      </c>
      <c r="H247" s="144"/>
      <c r="I247" s="186"/>
      <c r="K247" s="210">
        <v>52.142396164661413</v>
      </c>
      <c r="L247" s="143">
        <v>399.84599095196842</v>
      </c>
      <c r="M247" s="146">
        <v>17.380753138075313</v>
      </c>
      <c r="N247" s="143">
        <v>8396.8620656463572</v>
      </c>
      <c r="O247" s="138">
        <v>23345</v>
      </c>
      <c r="P247" s="143">
        <v>11983</v>
      </c>
      <c r="Q247" s="184">
        <v>79647</v>
      </c>
      <c r="R247" s="184">
        <v>-67664</v>
      </c>
      <c r="S247" s="139">
        <v>39143</v>
      </c>
      <c r="T247" s="138">
        <v>26394</v>
      </c>
      <c r="U247" s="151"/>
      <c r="W247" s="183">
        <v>1396</v>
      </c>
      <c r="X247" s="183">
        <v>-29</v>
      </c>
      <c r="Y247" s="184">
        <v>-760</v>
      </c>
      <c r="Z247" s="130">
        <v>2830</v>
      </c>
      <c r="AA247" s="130">
        <v>0</v>
      </c>
      <c r="AB247" s="130">
        <v>0</v>
      </c>
      <c r="AC247" s="184">
        <v>-3590</v>
      </c>
      <c r="AD247" s="183">
        <v>185</v>
      </c>
      <c r="AE247" s="183">
        <v>0</v>
      </c>
      <c r="AF247" s="183">
        <v>0</v>
      </c>
      <c r="AG247" s="183">
        <v>-3405</v>
      </c>
      <c r="AH247" s="183">
        <v>10435</v>
      </c>
      <c r="AI247" s="183">
        <v>-906</v>
      </c>
      <c r="AJ247" s="167"/>
      <c r="AK247" s="183">
        <v>160</v>
      </c>
      <c r="AL247" s="183">
        <v>-3260</v>
      </c>
      <c r="AM247" s="180">
        <v>-3695</v>
      </c>
      <c r="AN247" s="139">
        <v>39143</v>
      </c>
      <c r="AO247" s="138">
        <v>32524</v>
      </c>
      <c r="AP247" s="184">
        <v>2520</v>
      </c>
      <c r="AQ247" s="138">
        <v>4099</v>
      </c>
      <c r="AR247" s="109">
        <v>21.25</v>
      </c>
      <c r="AS247" s="144"/>
      <c r="AT247" s="139">
        <v>270</v>
      </c>
      <c r="AU247" s="228">
        <v>10336</v>
      </c>
      <c r="AV247" s="138"/>
      <c r="AW247" s="224">
        <v>3.407095714326887</v>
      </c>
      <c r="AX247" s="225">
        <v>51.811163143905837</v>
      </c>
      <c r="AY247" s="139">
        <v>3582.4303405572755</v>
      </c>
      <c r="AZ247" s="144"/>
      <c r="BA247"/>
      <c r="BC247" s="189">
        <v>69.988058520575237</v>
      </c>
      <c r="BD247" s="183">
        <v>7334.6555727554178</v>
      </c>
      <c r="BE247" s="140">
        <v>303.40027192087979</v>
      </c>
      <c r="BF247" s="139">
        <v>8823.8196594427245</v>
      </c>
      <c r="BG247" s="184">
        <v>24167</v>
      </c>
      <c r="BH247" s="216">
        <v>11747</v>
      </c>
      <c r="BI247" s="216">
        <v>82112</v>
      </c>
      <c r="BJ247" s="216">
        <v>-70365</v>
      </c>
      <c r="BK247" s="216">
        <v>40548</v>
      </c>
      <c r="BL247" s="216">
        <v>26715</v>
      </c>
      <c r="BM247" s="151"/>
      <c r="BO247" s="216">
        <v>1041</v>
      </c>
      <c r="BP247" s="216">
        <v>16679</v>
      </c>
      <c r="BQ247" s="216">
        <v>14618</v>
      </c>
      <c r="BR247" s="216">
        <v>2781</v>
      </c>
      <c r="BS247" s="216">
        <v>39077</v>
      </c>
      <c r="BT247" s="216">
        <v>625</v>
      </c>
      <c r="BU247" s="216">
        <v>50289</v>
      </c>
      <c r="BV247" s="183">
        <v>97</v>
      </c>
      <c r="BW247" s="183">
        <v>0</v>
      </c>
      <c r="BX247" s="183">
        <v>0</v>
      </c>
      <c r="BY247" s="183">
        <v>50386</v>
      </c>
      <c r="BZ247" s="183">
        <v>60821</v>
      </c>
      <c r="CA247" s="183">
        <v>13913</v>
      </c>
      <c r="CB247" s="167"/>
      <c r="CC247" s="183">
        <v>-61</v>
      </c>
      <c r="CD247" s="183">
        <v>-3277</v>
      </c>
      <c r="CE247" s="180">
        <v>50484</v>
      </c>
      <c r="CF247" s="139">
        <v>40548</v>
      </c>
      <c r="CG247" s="216">
        <v>33521</v>
      </c>
      <c r="CH247" s="216">
        <v>2844</v>
      </c>
      <c r="CI247" s="216">
        <v>4183</v>
      </c>
      <c r="CJ247" s="212">
        <v>21.25</v>
      </c>
      <c r="CK247" s="144"/>
      <c r="CL247" s="130">
        <v>1</v>
      </c>
      <c r="CM247" s="228">
        <v>10301</v>
      </c>
      <c r="CN247" s="138"/>
      <c r="CO247" s="142">
        <v>-0.44099378881987578</v>
      </c>
      <c r="CP247" s="142">
        <v>45.698799178967811</v>
      </c>
      <c r="CQ247" s="183">
        <v>2707.3099699058344</v>
      </c>
      <c r="CR247" s="144"/>
      <c r="CS247"/>
      <c r="CU247" s="232">
        <v>70.858785201892047</v>
      </c>
      <c r="CV247" s="143">
        <v>6016.4061741578489</v>
      </c>
      <c r="CW247" s="146">
        <v>234.22631682491689</v>
      </c>
      <c r="CX247" s="143">
        <v>9375.4975245121841</v>
      </c>
      <c r="CY247" s="131">
        <v>24290</v>
      </c>
      <c r="CZ247" s="229">
        <v>10843</v>
      </c>
      <c r="DA247" s="229">
        <v>84854</v>
      </c>
      <c r="DB247" s="216">
        <v>-74011</v>
      </c>
      <c r="DC247" s="229">
        <v>39361</v>
      </c>
      <c r="DD247" s="229">
        <v>31182</v>
      </c>
      <c r="DE247" s="151"/>
      <c r="DG247" s="229">
        <v>-482</v>
      </c>
      <c r="DH247" s="229">
        <v>1759</v>
      </c>
      <c r="DI247" s="229">
        <v>-2191</v>
      </c>
      <c r="DJ247" s="229">
        <v>2862</v>
      </c>
      <c r="DK247" s="229">
        <v>0</v>
      </c>
      <c r="DL247" s="229">
        <v>0</v>
      </c>
      <c r="DM247" s="229">
        <v>-5053</v>
      </c>
      <c r="DN247" s="130">
        <v>82</v>
      </c>
      <c r="DO247" s="130">
        <v>0</v>
      </c>
      <c r="DP247" s="130">
        <v>0</v>
      </c>
      <c r="DQ247" s="130">
        <v>-4971</v>
      </c>
      <c r="DR247" s="130">
        <v>55850</v>
      </c>
      <c r="DS247" s="130">
        <v>-2322</v>
      </c>
      <c r="DT247" s="167"/>
      <c r="DU247" s="183">
        <v>-942</v>
      </c>
      <c r="DV247" s="183">
        <v>-3377</v>
      </c>
      <c r="DW247" s="180">
        <v>-9433</v>
      </c>
      <c r="DX247" s="130">
        <v>39361</v>
      </c>
      <c r="DY247" s="229">
        <v>31996</v>
      </c>
      <c r="DZ247" s="229">
        <v>3447</v>
      </c>
      <c r="EA247" s="229">
        <v>3918</v>
      </c>
      <c r="EB247" s="212">
        <v>19.75</v>
      </c>
      <c r="EC247" s="208"/>
      <c r="ED247" s="183">
        <v>293.77205882352899</v>
      </c>
      <c r="EE247" s="3">
        <v>49880</v>
      </c>
      <c r="EF247" s="183">
        <v>51041</v>
      </c>
      <c r="EG247" s="130">
        <v>53542</v>
      </c>
      <c r="EH247" s="130"/>
      <c r="EI247" s="130"/>
      <c r="EJ247" s="130"/>
      <c r="EK247" s="183">
        <v>-3533</v>
      </c>
      <c r="EL247" s="183">
        <v>25</v>
      </c>
      <c r="EM247" s="183">
        <v>719</v>
      </c>
      <c r="EN247" s="226">
        <v>-4564</v>
      </c>
      <c r="EO247" s="226">
        <v>159</v>
      </c>
      <c r="EP247" s="226">
        <v>40976</v>
      </c>
      <c r="EQ247" s="226">
        <v>-7497</v>
      </c>
      <c r="ER247" s="230">
        <v>143</v>
      </c>
      <c r="ES247" s="230">
        <v>243</v>
      </c>
      <c r="ET247" s="3">
        <v>2500</v>
      </c>
      <c r="EU247" s="211">
        <v>2000</v>
      </c>
      <c r="EV247" s="183">
        <v>3000</v>
      </c>
      <c r="EW247" s="183">
        <v>0</v>
      </c>
      <c r="EX247" s="130">
        <v>3000</v>
      </c>
      <c r="EY247" s="183">
        <v>-6000</v>
      </c>
      <c r="EZ247" s="3">
        <v>31732</v>
      </c>
      <c r="FA247" s="3">
        <v>18605</v>
      </c>
      <c r="FB247" s="3">
        <v>13127</v>
      </c>
      <c r="FC247" s="3">
        <v>21715</v>
      </c>
      <c r="FD247" s="226">
        <v>31455</v>
      </c>
      <c r="FE247" s="183">
        <v>18228</v>
      </c>
      <c r="FF247" s="183">
        <v>13227</v>
      </c>
      <c r="FG247" s="183">
        <v>0</v>
      </c>
      <c r="FH247" s="230">
        <v>25077</v>
      </c>
      <c r="FI247" s="130">
        <v>17695</v>
      </c>
      <c r="FJ247" s="130">
        <v>7382</v>
      </c>
      <c r="FK247" s="130">
        <v>0</v>
      </c>
      <c r="FL247" s="29">
        <v>5336.2210029839252</v>
      </c>
      <c r="FM247" s="139">
        <v>5855.94040247678</v>
      </c>
      <c r="FN247" s="139">
        <v>5450.8300165032515</v>
      </c>
      <c r="FO247" s="172">
        <f t="shared" si="9"/>
        <v>1620.0506329113923</v>
      </c>
      <c r="FP247" s="170">
        <f t="shared" si="10"/>
        <v>157.27120016613847</v>
      </c>
      <c r="FR247" s="175"/>
      <c r="FS247" s="195"/>
      <c r="FV247" s="175">
        <v>1146</v>
      </c>
      <c r="FW247" s="2">
        <f t="shared" si="11"/>
        <v>-1146</v>
      </c>
      <c r="FZ247" s="186"/>
      <c r="GA247" s="2"/>
      <c r="GB247" s="2"/>
    </row>
    <row r="248" spans="1:184" ht="13" x14ac:dyDescent="0.3">
      <c r="A248" s="77">
        <v>768</v>
      </c>
      <c r="B248" s="75" t="s">
        <v>237</v>
      </c>
      <c r="C248" s="179">
        <v>2530</v>
      </c>
      <c r="D248" s="138"/>
      <c r="E248" s="142">
        <v>2.054263565891473</v>
      </c>
      <c r="F248" s="142">
        <v>30.813767950763619</v>
      </c>
      <c r="G248" s="183">
        <v>-1816.600790513834</v>
      </c>
      <c r="H248" s="144"/>
      <c r="I248" s="186"/>
      <c r="K248" s="210">
        <v>64.1417107065962</v>
      </c>
      <c r="L248" s="143">
        <v>340.31620553359681</v>
      </c>
      <c r="M248" s="146">
        <v>13.46407608928495</v>
      </c>
      <c r="N248" s="143">
        <v>9225.6916996047439</v>
      </c>
      <c r="O248" s="138">
        <v>4923</v>
      </c>
      <c r="P248" s="143">
        <v>2660</v>
      </c>
      <c r="Q248" s="184">
        <v>20773</v>
      </c>
      <c r="R248" s="184">
        <v>-18113</v>
      </c>
      <c r="S248" s="139">
        <v>8090</v>
      </c>
      <c r="T248" s="138">
        <v>11185</v>
      </c>
      <c r="U248" s="151"/>
      <c r="W248" s="183">
        <v>-20</v>
      </c>
      <c r="X248" s="183">
        <v>155</v>
      </c>
      <c r="Y248" s="184">
        <v>1297</v>
      </c>
      <c r="Z248" s="130">
        <v>598</v>
      </c>
      <c r="AA248" s="131">
        <v>63</v>
      </c>
      <c r="AB248" s="131">
        <v>0</v>
      </c>
      <c r="AC248" s="184">
        <v>762</v>
      </c>
      <c r="AD248" s="184">
        <v>4</v>
      </c>
      <c r="AE248" s="184">
        <v>0</v>
      </c>
      <c r="AF248" s="184">
        <v>0</v>
      </c>
      <c r="AG248" s="183">
        <v>766</v>
      </c>
      <c r="AH248" s="183">
        <v>3610</v>
      </c>
      <c r="AI248" s="183">
        <v>1133</v>
      </c>
      <c r="AJ248" s="167"/>
      <c r="AK248" s="183">
        <v>763</v>
      </c>
      <c r="AL248" s="183">
        <v>-617</v>
      </c>
      <c r="AM248" s="180">
        <v>-594</v>
      </c>
      <c r="AN248" s="139">
        <v>8090</v>
      </c>
      <c r="AO248" s="138">
        <v>5998</v>
      </c>
      <c r="AP248" s="184">
        <v>1134</v>
      </c>
      <c r="AQ248" s="138">
        <v>958</v>
      </c>
      <c r="AR248" s="109">
        <v>21.5</v>
      </c>
      <c r="AS248" s="144"/>
      <c r="AT248" s="139">
        <v>44</v>
      </c>
      <c r="AU248" s="228">
        <v>2492</v>
      </c>
      <c r="AV248" s="138"/>
      <c r="AW248" s="224">
        <v>2.1302035576746743</v>
      </c>
      <c r="AX248" s="225">
        <v>26.637160148134768</v>
      </c>
      <c r="AY248" s="139">
        <v>-1782.1027287319423</v>
      </c>
      <c r="AZ248" s="144"/>
      <c r="BA248"/>
      <c r="BC248" s="189">
        <v>68.441920798864359</v>
      </c>
      <c r="BD248" s="183">
        <v>121.58908507223114</v>
      </c>
      <c r="BE248" s="140">
        <v>4.8275786808677816</v>
      </c>
      <c r="BF248" s="139">
        <v>9193.0176565008023</v>
      </c>
      <c r="BG248" s="184">
        <v>5134</v>
      </c>
      <c r="BH248" s="216">
        <v>2536</v>
      </c>
      <c r="BI248" s="216">
        <v>20898</v>
      </c>
      <c r="BJ248" s="216">
        <v>-18362</v>
      </c>
      <c r="BK248" s="216">
        <v>8452</v>
      </c>
      <c r="BL248" s="216">
        <v>11154</v>
      </c>
      <c r="BM248" s="151"/>
      <c r="BO248" s="216">
        <v>-12</v>
      </c>
      <c r="BP248" s="216">
        <v>200</v>
      </c>
      <c r="BQ248" s="216">
        <v>1432</v>
      </c>
      <c r="BR248" s="216">
        <v>560</v>
      </c>
      <c r="BS248" s="216">
        <v>0</v>
      </c>
      <c r="BT248" s="216">
        <v>0</v>
      </c>
      <c r="BU248" s="216">
        <v>872</v>
      </c>
      <c r="BV248" s="184">
        <v>4</v>
      </c>
      <c r="BW248" s="184">
        <v>0</v>
      </c>
      <c r="BX248" s="184">
        <v>0</v>
      </c>
      <c r="BY248" s="183">
        <v>876</v>
      </c>
      <c r="BZ248" s="183">
        <v>4485</v>
      </c>
      <c r="CA248" s="183">
        <v>1431</v>
      </c>
      <c r="CB248" s="167"/>
      <c r="CC248" s="183">
        <v>147</v>
      </c>
      <c r="CD248" s="183">
        <v>-617</v>
      </c>
      <c r="CE248" s="180">
        <v>121</v>
      </c>
      <c r="CF248" s="139">
        <v>8452</v>
      </c>
      <c r="CG248" s="216">
        <v>6238</v>
      </c>
      <c r="CH248" s="216">
        <v>1233</v>
      </c>
      <c r="CI248" s="216">
        <v>981</v>
      </c>
      <c r="CJ248" s="212">
        <v>21.5</v>
      </c>
      <c r="CK248" s="144"/>
      <c r="CL248" s="130">
        <v>18</v>
      </c>
      <c r="CM248" s="228">
        <v>2482</v>
      </c>
      <c r="CN248" s="138"/>
      <c r="CO248" s="142">
        <v>5.2371364653243848</v>
      </c>
      <c r="CP248" s="142">
        <v>18.404490559618981</v>
      </c>
      <c r="CQ248" s="183">
        <v>-1142.6269137792103</v>
      </c>
      <c r="CR248" s="144"/>
      <c r="CS248"/>
      <c r="CU248" s="232">
        <v>75.19987778173855</v>
      </c>
      <c r="CV248" s="143">
        <v>356.97018533440774</v>
      </c>
      <c r="CW248" s="146">
        <v>14.277704194260485</v>
      </c>
      <c r="CX248" s="143">
        <v>9125.7050765511685</v>
      </c>
      <c r="CY248" s="131">
        <v>4990</v>
      </c>
      <c r="CZ248" s="229">
        <v>2441</v>
      </c>
      <c r="DA248" s="229">
        <v>21420</v>
      </c>
      <c r="DB248" s="216">
        <v>-18979</v>
      </c>
      <c r="DC248" s="229">
        <v>8947</v>
      </c>
      <c r="DD248" s="229">
        <v>12128</v>
      </c>
      <c r="DE248" s="151"/>
      <c r="DG248" s="229">
        <v>-6</v>
      </c>
      <c r="DH248" s="229">
        <v>237</v>
      </c>
      <c r="DI248" s="229">
        <v>2327</v>
      </c>
      <c r="DJ248" s="229">
        <v>1539</v>
      </c>
      <c r="DK248" s="229">
        <v>0</v>
      </c>
      <c r="DL248" s="229">
        <v>0</v>
      </c>
      <c r="DM248" s="229">
        <v>788</v>
      </c>
      <c r="DN248" s="131">
        <v>4</v>
      </c>
      <c r="DO248" s="131">
        <v>0</v>
      </c>
      <c r="DP248" s="131">
        <v>0</v>
      </c>
      <c r="DQ248" s="130">
        <v>792</v>
      </c>
      <c r="DR248" s="130">
        <v>5279</v>
      </c>
      <c r="DS248" s="130">
        <v>2264</v>
      </c>
      <c r="DT248" s="167"/>
      <c r="DU248" s="183">
        <v>548</v>
      </c>
      <c r="DV248" s="183">
        <v>-433</v>
      </c>
      <c r="DW248" s="180">
        <v>1610</v>
      </c>
      <c r="DX248" s="130">
        <v>8947</v>
      </c>
      <c r="DY248" s="229">
        <v>6541</v>
      </c>
      <c r="DZ248" s="229">
        <v>1511</v>
      </c>
      <c r="EA248" s="229">
        <v>895</v>
      </c>
      <c r="EB248" s="212">
        <v>21.5</v>
      </c>
      <c r="EC248" s="208"/>
      <c r="ED248" s="183">
        <v>48.985294117647101</v>
      </c>
      <c r="EE248" s="3">
        <v>13665</v>
      </c>
      <c r="EF248" s="183">
        <v>13513</v>
      </c>
      <c r="EG248" s="130">
        <v>14065</v>
      </c>
      <c r="EH248" s="130"/>
      <c r="EI248" s="130"/>
      <c r="EJ248" s="130"/>
      <c r="EK248" s="183">
        <v>-1920</v>
      </c>
      <c r="EL248" s="183">
        <v>161</v>
      </c>
      <c r="EM248" s="183">
        <v>32</v>
      </c>
      <c r="EN248" s="226">
        <v>-1371</v>
      </c>
      <c r="EO248" s="226">
        <v>59</v>
      </c>
      <c r="EP248" s="226">
        <v>2</v>
      </c>
      <c r="EQ248" s="226">
        <v>-783</v>
      </c>
      <c r="ER248" s="230">
        <v>30</v>
      </c>
      <c r="ES248" s="230">
        <v>99</v>
      </c>
      <c r="ET248" s="3">
        <v>0</v>
      </c>
      <c r="EU248" s="211">
        <v>0</v>
      </c>
      <c r="EV248" s="183">
        <v>0</v>
      </c>
      <c r="EW248" s="183">
        <v>0</v>
      </c>
      <c r="EX248" s="130">
        <v>0</v>
      </c>
      <c r="EY248" s="183">
        <v>-400</v>
      </c>
      <c r="EZ248" s="3">
        <v>4417</v>
      </c>
      <c r="FA248" s="3">
        <v>1800</v>
      </c>
      <c r="FB248" s="3">
        <v>2617</v>
      </c>
      <c r="FC248" s="3">
        <v>83</v>
      </c>
      <c r="FD248" s="226">
        <v>3800</v>
      </c>
      <c r="FE248" s="183">
        <v>1367</v>
      </c>
      <c r="FF248" s="183">
        <v>2433</v>
      </c>
      <c r="FG248" s="183">
        <v>83</v>
      </c>
      <c r="FH248" s="230">
        <v>2966</v>
      </c>
      <c r="FI248" s="130">
        <v>933</v>
      </c>
      <c r="FJ248" s="130">
        <v>2033</v>
      </c>
      <c r="FK248" s="130">
        <v>83</v>
      </c>
      <c r="FL248" s="29">
        <v>2790.909090909091</v>
      </c>
      <c r="FM248" s="139">
        <v>2358.7479935794545</v>
      </c>
      <c r="FN248" s="139">
        <v>2267.1232876712329</v>
      </c>
      <c r="FO248" s="172">
        <f t="shared" si="9"/>
        <v>304.23255813953489</v>
      </c>
      <c r="FP248" s="170">
        <f t="shared" si="10"/>
        <v>122.57556734066675</v>
      </c>
      <c r="FR248" s="175"/>
      <c r="FS248" s="195"/>
      <c r="FV248" s="175">
        <v>317</v>
      </c>
      <c r="FW248" s="2">
        <f t="shared" si="11"/>
        <v>-317</v>
      </c>
      <c r="FZ248" s="186"/>
      <c r="GA248" s="2"/>
      <c r="GB248" s="2"/>
    </row>
    <row r="249" spans="1:184" ht="13" x14ac:dyDescent="0.3">
      <c r="A249" s="77">
        <v>777</v>
      </c>
      <c r="B249" s="75" t="s">
        <v>238</v>
      </c>
      <c r="C249" s="179">
        <v>7862</v>
      </c>
      <c r="D249" s="138"/>
      <c r="E249" s="142">
        <v>-0.36288232244686364</v>
      </c>
      <c r="F249" s="142">
        <v>31.023391371317256</v>
      </c>
      <c r="G249" s="183">
        <v>-802.84914779954204</v>
      </c>
      <c r="H249" s="144"/>
      <c r="I249" s="186"/>
      <c r="K249" s="210">
        <v>72.269688965554423</v>
      </c>
      <c r="L249" s="143">
        <v>1517.1712032561688</v>
      </c>
      <c r="M249" s="146">
        <v>61.515810891005174</v>
      </c>
      <c r="N249" s="143">
        <v>9002.0351055711017</v>
      </c>
      <c r="O249" s="138">
        <v>15034</v>
      </c>
      <c r="P249" s="143">
        <v>8939</v>
      </c>
      <c r="Q249" s="184">
        <v>66935</v>
      </c>
      <c r="R249" s="184">
        <v>-57996</v>
      </c>
      <c r="S249" s="139">
        <v>25919</v>
      </c>
      <c r="T249" s="138">
        <v>31363</v>
      </c>
      <c r="U249" s="151"/>
      <c r="W249" s="183">
        <v>-170</v>
      </c>
      <c r="X249" s="183">
        <v>0</v>
      </c>
      <c r="Y249" s="184">
        <v>-884</v>
      </c>
      <c r="Z249" s="130">
        <v>4950</v>
      </c>
      <c r="AA249" s="131">
        <v>0</v>
      </c>
      <c r="AB249" s="130">
        <v>0</v>
      </c>
      <c r="AC249" s="184">
        <v>-5834</v>
      </c>
      <c r="AD249" s="183">
        <v>0</v>
      </c>
      <c r="AE249" s="183">
        <v>0</v>
      </c>
      <c r="AF249" s="183">
        <v>2</v>
      </c>
      <c r="AG249" s="183">
        <v>-5832</v>
      </c>
      <c r="AH249" s="183">
        <v>12107</v>
      </c>
      <c r="AI249" s="183">
        <v>-890</v>
      </c>
      <c r="AJ249" s="167"/>
      <c r="AK249" s="183">
        <v>338</v>
      </c>
      <c r="AL249" s="183">
        <v>-1745</v>
      </c>
      <c r="AM249" s="180">
        <v>-2416</v>
      </c>
      <c r="AN249" s="139">
        <v>25919</v>
      </c>
      <c r="AO249" s="138">
        <v>20288</v>
      </c>
      <c r="AP249" s="184">
        <v>2601</v>
      </c>
      <c r="AQ249" s="138">
        <v>3030</v>
      </c>
      <c r="AR249" s="109">
        <v>20.5</v>
      </c>
      <c r="AS249" s="144"/>
      <c r="AT249" s="139">
        <v>277</v>
      </c>
      <c r="AU249" s="228">
        <v>7727</v>
      </c>
      <c r="AV249" s="138"/>
      <c r="AW249" s="224">
        <v>0.77758470894874021</v>
      </c>
      <c r="AX249" s="225">
        <v>32.024434129156148</v>
      </c>
      <c r="AY249" s="139">
        <v>-931.79759285621844</v>
      </c>
      <c r="AZ249" s="144"/>
      <c r="BA249"/>
      <c r="BC249" s="189">
        <v>70.641101630667009</v>
      </c>
      <c r="BD249" s="183">
        <v>1545.7486734825936</v>
      </c>
      <c r="BE249" s="140">
        <v>62.849563901102862</v>
      </c>
      <c r="BF249" s="139">
        <v>8976.963892843276</v>
      </c>
      <c r="BG249" s="184">
        <v>14915</v>
      </c>
      <c r="BH249" s="216">
        <v>8522</v>
      </c>
      <c r="BI249" s="216">
        <v>64858</v>
      </c>
      <c r="BJ249" s="216">
        <v>-56336</v>
      </c>
      <c r="BK249" s="216">
        <v>26868</v>
      </c>
      <c r="BL249" s="216">
        <v>30747</v>
      </c>
      <c r="BM249" s="151"/>
      <c r="BO249" s="216">
        <v>-181</v>
      </c>
      <c r="BP249" s="216">
        <v>480</v>
      </c>
      <c r="BQ249" s="216">
        <v>1578</v>
      </c>
      <c r="BR249" s="216">
        <v>3958</v>
      </c>
      <c r="BS249" s="216">
        <v>0</v>
      </c>
      <c r="BT249" s="216">
        <v>0</v>
      </c>
      <c r="BU249" s="216">
        <v>-2380</v>
      </c>
      <c r="BV249" s="183">
        <v>0</v>
      </c>
      <c r="BW249" s="183">
        <v>0</v>
      </c>
      <c r="BX249" s="183">
        <v>22</v>
      </c>
      <c r="BY249" s="183">
        <v>-2358</v>
      </c>
      <c r="BZ249" s="183">
        <v>9750</v>
      </c>
      <c r="CA249" s="183">
        <v>1540</v>
      </c>
      <c r="CB249" s="167"/>
      <c r="CC249" s="183">
        <v>268</v>
      </c>
      <c r="CD249" s="183">
        <v>-1690</v>
      </c>
      <c r="CE249" s="180">
        <v>-965</v>
      </c>
      <c r="CF249" s="139">
        <v>26868</v>
      </c>
      <c r="CG249" s="216">
        <v>21111</v>
      </c>
      <c r="CH249" s="216">
        <v>2675</v>
      </c>
      <c r="CI249" s="216">
        <v>3082</v>
      </c>
      <c r="CJ249" s="212">
        <v>21.5</v>
      </c>
      <c r="CK249" s="144"/>
      <c r="CL249" s="130">
        <v>126</v>
      </c>
      <c r="CM249" s="228">
        <v>7594</v>
      </c>
      <c r="CN249" s="138"/>
      <c r="CO249" s="142">
        <v>1.7916850950906678</v>
      </c>
      <c r="CP249" s="142">
        <v>44.143629472745516</v>
      </c>
      <c r="CQ249" s="183">
        <v>-1527.2583618646299</v>
      </c>
      <c r="CR249" s="144"/>
      <c r="CS249"/>
      <c r="CU249" s="232">
        <v>61.59708216084347</v>
      </c>
      <c r="CV249" s="143">
        <v>2358.4408743745062</v>
      </c>
      <c r="CW249" s="146">
        <v>82.786459652499872</v>
      </c>
      <c r="CX249" s="143">
        <v>10398.209112457203</v>
      </c>
      <c r="CY249" s="131">
        <v>14850</v>
      </c>
      <c r="CZ249" s="229">
        <v>9458</v>
      </c>
      <c r="DA249" s="229">
        <v>68126</v>
      </c>
      <c r="DB249" s="216">
        <v>-58668</v>
      </c>
      <c r="DC249" s="229">
        <v>28114</v>
      </c>
      <c r="DD249" s="229">
        <v>34348</v>
      </c>
      <c r="DE249" s="151"/>
      <c r="DG249" s="229">
        <v>-176</v>
      </c>
      <c r="DH249" s="229">
        <v>244</v>
      </c>
      <c r="DI249" s="229">
        <v>3862</v>
      </c>
      <c r="DJ249" s="229">
        <v>4102</v>
      </c>
      <c r="DK249" s="229">
        <v>0</v>
      </c>
      <c r="DL249" s="229">
        <v>0</v>
      </c>
      <c r="DM249" s="229">
        <v>-240</v>
      </c>
      <c r="DN249" s="130">
        <v>0</v>
      </c>
      <c r="DO249" s="130">
        <v>0</v>
      </c>
      <c r="DP249" s="130">
        <v>-2</v>
      </c>
      <c r="DQ249" s="130">
        <v>-242</v>
      </c>
      <c r="DR249" s="130">
        <v>9508</v>
      </c>
      <c r="DS249" s="130">
        <v>4000</v>
      </c>
      <c r="DT249" s="167"/>
      <c r="DU249" s="183">
        <v>-145</v>
      </c>
      <c r="DV249" s="183">
        <v>-2072</v>
      </c>
      <c r="DW249" s="180">
        <v>-4581</v>
      </c>
      <c r="DX249" s="130">
        <v>28114</v>
      </c>
      <c r="DY249" s="229">
        <v>22092</v>
      </c>
      <c r="DZ249" s="229">
        <v>3003</v>
      </c>
      <c r="EA249" s="229">
        <v>3019</v>
      </c>
      <c r="EB249" s="212">
        <v>21.5</v>
      </c>
      <c r="EC249" s="208"/>
      <c r="ED249" s="183">
        <v>224.26470588235301</v>
      </c>
      <c r="EE249" s="3">
        <v>45743</v>
      </c>
      <c r="EF249" s="183">
        <v>44577</v>
      </c>
      <c r="EG249" s="130">
        <v>47900</v>
      </c>
      <c r="EH249" s="130"/>
      <c r="EI249" s="130"/>
      <c r="EJ249" s="130"/>
      <c r="EK249" s="183">
        <v>-1589</v>
      </c>
      <c r="EL249" s="183">
        <v>55</v>
      </c>
      <c r="EM249" s="183">
        <v>8</v>
      </c>
      <c r="EN249" s="226">
        <v>-2574</v>
      </c>
      <c r="EO249" s="226">
        <v>8</v>
      </c>
      <c r="EP249" s="226">
        <v>61</v>
      </c>
      <c r="EQ249" s="226">
        <v>-8716</v>
      </c>
      <c r="ER249" s="230">
        <v>128</v>
      </c>
      <c r="ES249" s="230">
        <v>7</v>
      </c>
      <c r="ET249" s="3">
        <v>1000</v>
      </c>
      <c r="EU249" s="211">
        <v>-2000</v>
      </c>
      <c r="EV249" s="183">
        <v>3995</v>
      </c>
      <c r="EW249" s="183">
        <v>0</v>
      </c>
      <c r="EX249" s="130">
        <v>10000</v>
      </c>
      <c r="EY249" s="183">
        <v>-133</v>
      </c>
      <c r="EZ249" s="3">
        <v>12966</v>
      </c>
      <c r="FA249" s="3">
        <v>11208</v>
      </c>
      <c r="FB249" s="3">
        <v>1758</v>
      </c>
      <c r="FC249" s="3">
        <v>883</v>
      </c>
      <c r="FD249" s="226">
        <v>15271</v>
      </c>
      <c r="FE249" s="183">
        <v>13481</v>
      </c>
      <c r="FF249" s="183">
        <v>1790</v>
      </c>
      <c r="FG249" s="183">
        <v>883</v>
      </c>
      <c r="FH249" s="230">
        <v>23066</v>
      </c>
      <c r="FI249" s="130">
        <v>20887</v>
      </c>
      <c r="FJ249" s="130">
        <v>2179</v>
      </c>
      <c r="FK249" s="130">
        <v>883</v>
      </c>
      <c r="FL249" s="29">
        <v>3986.2630373950651</v>
      </c>
      <c r="FM249" s="139">
        <v>4846.2533971787234</v>
      </c>
      <c r="FN249" s="139">
        <v>6267.184619436398</v>
      </c>
      <c r="FO249" s="172">
        <f t="shared" si="9"/>
        <v>1027.5348837209303</v>
      </c>
      <c r="FP249" s="170">
        <f t="shared" si="10"/>
        <v>135.30878110625895</v>
      </c>
      <c r="FR249" s="175"/>
      <c r="FS249" s="195"/>
      <c r="FV249" s="175">
        <v>1125</v>
      </c>
      <c r="FW249" s="2">
        <f t="shared" si="11"/>
        <v>-1125</v>
      </c>
      <c r="FZ249" s="186"/>
      <c r="GA249" s="2"/>
      <c r="GB249" s="2"/>
    </row>
    <row r="250" spans="1:184" ht="13" x14ac:dyDescent="0.3">
      <c r="A250" s="77">
        <v>778</v>
      </c>
      <c r="B250" s="75" t="s">
        <v>239</v>
      </c>
      <c r="C250" s="179">
        <v>7145</v>
      </c>
      <c r="D250" s="138"/>
      <c r="E250" s="142">
        <v>1.0794190358467244</v>
      </c>
      <c r="F250" s="142">
        <v>53.879440833407536</v>
      </c>
      <c r="G250" s="183">
        <v>-3521.2036389083273</v>
      </c>
      <c r="H250" s="144"/>
      <c r="I250" s="186"/>
      <c r="K250" s="210">
        <v>53.144396118067704</v>
      </c>
      <c r="L250" s="143">
        <v>177.18684394681594</v>
      </c>
      <c r="M250" s="146">
        <v>7.8885910852382342</v>
      </c>
      <c r="N250" s="143">
        <v>8198.3205038488468</v>
      </c>
      <c r="O250" s="138">
        <v>18145</v>
      </c>
      <c r="P250" s="143">
        <v>8122</v>
      </c>
      <c r="Q250" s="184">
        <v>53586</v>
      </c>
      <c r="R250" s="184">
        <v>-45464</v>
      </c>
      <c r="S250" s="139">
        <v>23344</v>
      </c>
      <c r="T250" s="138">
        <v>24749</v>
      </c>
      <c r="U250" s="151"/>
      <c r="W250" s="183">
        <v>-371</v>
      </c>
      <c r="X250" s="183">
        <v>674</v>
      </c>
      <c r="Y250" s="184">
        <v>2932</v>
      </c>
      <c r="Z250" s="130">
        <v>2291</v>
      </c>
      <c r="AA250" s="130">
        <v>0</v>
      </c>
      <c r="AB250" s="130">
        <v>0</v>
      </c>
      <c r="AC250" s="184">
        <v>641</v>
      </c>
      <c r="AD250" s="184">
        <v>0</v>
      </c>
      <c r="AE250" s="183">
        <v>0</v>
      </c>
      <c r="AF250" s="183">
        <v>0</v>
      </c>
      <c r="AG250" s="183">
        <v>641</v>
      </c>
      <c r="AH250" s="183">
        <v>7506</v>
      </c>
      <c r="AI250" s="183">
        <v>2803</v>
      </c>
      <c r="AJ250" s="167"/>
      <c r="AK250" s="183">
        <v>57</v>
      </c>
      <c r="AL250" s="183">
        <v>-2675</v>
      </c>
      <c r="AM250" s="180">
        <v>1281</v>
      </c>
      <c r="AN250" s="139">
        <v>23344</v>
      </c>
      <c r="AO250" s="138">
        <v>19944</v>
      </c>
      <c r="AP250" s="184">
        <v>1674</v>
      </c>
      <c r="AQ250" s="138">
        <v>1726</v>
      </c>
      <c r="AR250" s="109">
        <v>21.75</v>
      </c>
      <c r="AS250" s="144"/>
      <c r="AT250" s="139">
        <v>67</v>
      </c>
      <c r="AU250" s="228">
        <v>7064</v>
      </c>
      <c r="AV250" s="138"/>
      <c r="AW250" s="224">
        <v>0.72498703200805537</v>
      </c>
      <c r="AX250" s="225">
        <v>55.464807782344067</v>
      </c>
      <c r="AY250" s="139">
        <v>-3344.4224235560587</v>
      </c>
      <c r="AZ250" s="144"/>
      <c r="BA250"/>
      <c r="BC250" s="189">
        <v>51.684989365844892</v>
      </c>
      <c r="BD250" s="183">
        <v>536.66477916194788</v>
      </c>
      <c r="BE250" s="140">
        <v>21.738409815719606</v>
      </c>
      <c r="BF250" s="139">
        <v>9010.9003397508495</v>
      </c>
      <c r="BG250" s="184">
        <v>18385</v>
      </c>
      <c r="BH250" s="216">
        <v>7572</v>
      </c>
      <c r="BI250" s="216">
        <v>55570</v>
      </c>
      <c r="BJ250" s="216">
        <v>-47948</v>
      </c>
      <c r="BK250" s="216">
        <v>24597</v>
      </c>
      <c r="BL250" s="216">
        <v>25500</v>
      </c>
      <c r="BM250" s="151"/>
      <c r="BO250" s="216">
        <v>-336</v>
      </c>
      <c r="BP250" s="216">
        <v>633</v>
      </c>
      <c r="BQ250" s="216">
        <v>2446</v>
      </c>
      <c r="BR250" s="216">
        <v>2273</v>
      </c>
      <c r="BS250" s="216">
        <v>0</v>
      </c>
      <c r="BT250" s="216">
        <v>0</v>
      </c>
      <c r="BU250" s="216">
        <v>173</v>
      </c>
      <c r="BV250" s="184">
        <v>0</v>
      </c>
      <c r="BW250" s="183">
        <v>0</v>
      </c>
      <c r="BX250" s="183">
        <v>0</v>
      </c>
      <c r="BY250" s="183">
        <v>173</v>
      </c>
      <c r="BZ250" s="183">
        <v>7679</v>
      </c>
      <c r="CA250" s="183">
        <v>2676</v>
      </c>
      <c r="CB250" s="167"/>
      <c r="CC250" s="183">
        <v>-739</v>
      </c>
      <c r="CD250" s="183">
        <v>-5755</v>
      </c>
      <c r="CE250" s="180">
        <v>1536</v>
      </c>
      <c r="CF250" s="139">
        <v>24597</v>
      </c>
      <c r="CG250" s="216">
        <v>21030</v>
      </c>
      <c r="CH250" s="216">
        <v>1761</v>
      </c>
      <c r="CI250" s="216">
        <v>1806</v>
      </c>
      <c r="CJ250" s="212">
        <v>21.75</v>
      </c>
      <c r="CK250" s="144"/>
      <c r="CL250" s="130">
        <v>74</v>
      </c>
      <c r="CM250" s="228">
        <v>6931</v>
      </c>
      <c r="CN250" s="138"/>
      <c r="CO250" s="142">
        <v>1.5085984522785898</v>
      </c>
      <c r="CP250" s="142">
        <v>45.237733299552403</v>
      </c>
      <c r="CQ250" s="183">
        <v>-3057.8560092338766</v>
      </c>
      <c r="CR250" s="144"/>
      <c r="CS250"/>
      <c r="CU250" s="232">
        <v>56.424885412994009</v>
      </c>
      <c r="CV250" s="143">
        <v>354.92713894098978</v>
      </c>
      <c r="CW250" s="146">
        <v>14.876731393730532</v>
      </c>
      <c r="CX250" s="143">
        <v>8708.1229259847059</v>
      </c>
      <c r="CY250" s="131">
        <v>18507</v>
      </c>
      <c r="CZ250" s="229">
        <v>7571</v>
      </c>
      <c r="DA250" s="229">
        <v>56614</v>
      </c>
      <c r="DB250" s="216">
        <v>-49043</v>
      </c>
      <c r="DC250" s="229">
        <v>24311</v>
      </c>
      <c r="DD250" s="229">
        <v>27391</v>
      </c>
      <c r="DE250" s="151"/>
      <c r="DG250" s="229">
        <v>-300</v>
      </c>
      <c r="DH250" s="229">
        <v>659</v>
      </c>
      <c r="DI250" s="229">
        <v>3018</v>
      </c>
      <c r="DJ250" s="229">
        <v>2317</v>
      </c>
      <c r="DK250" s="229">
        <v>0</v>
      </c>
      <c r="DL250" s="229">
        <v>0</v>
      </c>
      <c r="DM250" s="229">
        <v>701</v>
      </c>
      <c r="DN250" s="131">
        <v>0</v>
      </c>
      <c r="DO250" s="130">
        <v>0</v>
      </c>
      <c r="DP250" s="130">
        <v>0</v>
      </c>
      <c r="DQ250" s="130">
        <v>701</v>
      </c>
      <c r="DR250" s="130">
        <v>8379</v>
      </c>
      <c r="DS250" s="130">
        <v>3081</v>
      </c>
      <c r="DT250" s="167"/>
      <c r="DU250" s="183">
        <v>1440</v>
      </c>
      <c r="DV250" s="183">
        <v>-1835</v>
      </c>
      <c r="DW250" s="180">
        <v>2124</v>
      </c>
      <c r="DX250" s="130">
        <v>24311</v>
      </c>
      <c r="DY250" s="229">
        <v>20709</v>
      </c>
      <c r="DZ250" s="229">
        <v>1942</v>
      </c>
      <c r="EA250" s="229">
        <v>1660</v>
      </c>
      <c r="EB250" s="212">
        <v>21.75</v>
      </c>
      <c r="EC250" s="208"/>
      <c r="ED250" s="183">
        <v>246.42647058823499</v>
      </c>
      <c r="EE250" s="3">
        <v>30180</v>
      </c>
      <c r="EF250" s="183">
        <v>31185</v>
      </c>
      <c r="EG250" s="130">
        <v>31423</v>
      </c>
      <c r="EH250" s="130"/>
      <c r="EI250" s="130"/>
      <c r="EJ250" s="130"/>
      <c r="EK250" s="183">
        <v>-1809</v>
      </c>
      <c r="EL250" s="183">
        <v>90</v>
      </c>
      <c r="EM250" s="183">
        <v>197</v>
      </c>
      <c r="EN250" s="226">
        <v>-1853</v>
      </c>
      <c r="EO250" s="226">
        <v>62</v>
      </c>
      <c r="EP250" s="226">
        <v>651</v>
      </c>
      <c r="EQ250" s="226">
        <v>-1484</v>
      </c>
      <c r="ER250" s="230">
        <v>37</v>
      </c>
      <c r="ES250" s="230">
        <v>490</v>
      </c>
      <c r="ET250" s="3">
        <v>0</v>
      </c>
      <c r="EU250" s="211">
        <v>0</v>
      </c>
      <c r="EV250" s="183">
        <v>4000</v>
      </c>
      <c r="EW250" s="183">
        <v>4000</v>
      </c>
      <c r="EX250" s="130">
        <v>0</v>
      </c>
      <c r="EY250" s="183">
        <v>-4000</v>
      </c>
      <c r="EZ250" s="3">
        <v>24834</v>
      </c>
      <c r="FA250" s="3">
        <v>19159</v>
      </c>
      <c r="FB250" s="3">
        <v>5675</v>
      </c>
      <c r="FC250" s="3">
        <v>4707</v>
      </c>
      <c r="FD250" s="226">
        <v>27078</v>
      </c>
      <c r="FE250" s="183">
        <v>21243</v>
      </c>
      <c r="FF250" s="183">
        <v>5835</v>
      </c>
      <c r="FG250" s="183">
        <v>4707</v>
      </c>
      <c r="FH250" s="230">
        <v>21243</v>
      </c>
      <c r="FI250" s="130">
        <v>19408</v>
      </c>
      <c r="FJ250" s="130">
        <v>1835</v>
      </c>
      <c r="FK250" s="130">
        <v>4707</v>
      </c>
      <c r="FL250" s="29">
        <v>7875.4373687893631</v>
      </c>
      <c r="FM250" s="139">
        <v>8267.2706681766704</v>
      </c>
      <c r="FN250" s="139">
        <v>7938.6812869715768</v>
      </c>
      <c r="FO250" s="172">
        <f t="shared" si="9"/>
        <v>952.13793103448279</v>
      </c>
      <c r="FP250" s="170">
        <f t="shared" si="10"/>
        <v>137.37381778018798</v>
      </c>
      <c r="FR250" s="175"/>
      <c r="FS250" s="195"/>
      <c r="FV250" s="175">
        <v>3075</v>
      </c>
      <c r="FW250" s="2">
        <f t="shared" si="11"/>
        <v>-3075</v>
      </c>
      <c r="FZ250" s="186"/>
      <c r="GA250" s="2"/>
      <c r="GB250" s="2"/>
    </row>
    <row r="251" spans="1:184" ht="13" x14ac:dyDescent="0.3">
      <c r="A251" s="77">
        <v>781</v>
      </c>
      <c r="B251" s="75" t="s">
        <v>240</v>
      </c>
      <c r="C251" s="179">
        <v>3753</v>
      </c>
      <c r="D251" s="138"/>
      <c r="E251" s="142">
        <v>6.139344262295082</v>
      </c>
      <c r="F251" s="142">
        <v>16.90896759163693</v>
      </c>
      <c r="G251" s="183">
        <v>451.63868904876097</v>
      </c>
      <c r="H251" s="144"/>
      <c r="I251" s="186"/>
      <c r="K251" s="210">
        <v>76.854682722905096</v>
      </c>
      <c r="L251" s="143">
        <v>1476.685318411937</v>
      </c>
      <c r="M251" s="146">
        <v>52.980016238443206</v>
      </c>
      <c r="N251" s="143">
        <v>10173.461231015188</v>
      </c>
      <c r="O251" s="138">
        <v>9120</v>
      </c>
      <c r="P251" s="143">
        <v>8642</v>
      </c>
      <c r="Q251" s="184">
        <v>33301</v>
      </c>
      <c r="R251" s="184">
        <v>-24659</v>
      </c>
      <c r="S251" s="139">
        <v>11758</v>
      </c>
      <c r="T251" s="138">
        <v>13511</v>
      </c>
      <c r="U251" s="151"/>
      <c r="W251" s="183">
        <v>1</v>
      </c>
      <c r="X251" s="183">
        <v>130</v>
      </c>
      <c r="Y251" s="184">
        <v>741</v>
      </c>
      <c r="Z251" s="130">
        <v>997</v>
      </c>
      <c r="AA251" s="130">
        <v>0</v>
      </c>
      <c r="AB251" s="130">
        <v>0</v>
      </c>
      <c r="AC251" s="184">
        <v>-256</v>
      </c>
      <c r="AD251" s="183">
        <v>-4709</v>
      </c>
      <c r="AE251" s="183">
        <v>5000</v>
      </c>
      <c r="AF251" s="184">
        <v>0</v>
      </c>
      <c r="AG251" s="183">
        <v>35</v>
      </c>
      <c r="AH251" s="183">
        <v>4769</v>
      </c>
      <c r="AI251" s="183">
        <v>341</v>
      </c>
      <c r="AJ251" s="167"/>
      <c r="AK251" s="183">
        <v>671</v>
      </c>
      <c r="AL251" s="183">
        <v>-114</v>
      </c>
      <c r="AM251" s="180">
        <v>-3940</v>
      </c>
      <c r="AN251" s="139">
        <v>11758</v>
      </c>
      <c r="AO251" s="138">
        <v>8443</v>
      </c>
      <c r="AP251" s="184">
        <v>1355</v>
      </c>
      <c r="AQ251" s="138">
        <v>1960</v>
      </c>
      <c r="AR251" s="109">
        <v>19</v>
      </c>
      <c r="AS251" s="144"/>
      <c r="AT251" s="139">
        <v>173</v>
      </c>
      <c r="AU251" s="228">
        <v>3657</v>
      </c>
      <c r="AV251" s="138"/>
      <c r="AW251" s="224">
        <v>1.2819961281996128</v>
      </c>
      <c r="AX251" s="225">
        <v>20.359517808884707</v>
      </c>
      <c r="AY251" s="139">
        <v>-132.62236806125239</v>
      </c>
      <c r="AZ251" s="144"/>
      <c r="BA251"/>
      <c r="BC251" s="189">
        <v>76.09823158157846</v>
      </c>
      <c r="BD251" s="183">
        <v>1139.1851244189227</v>
      </c>
      <c r="BE251" s="140">
        <v>42.804582817250306</v>
      </c>
      <c r="BF251" s="139">
        <v>9713.9732020782067</v>
      </c>
      <c r="BG251" s="184">
        <v>8730</v>
      </c>
      <c r="BH251" s="216">
        <v>7858</v>
      </c>
      <c r="BI251" s="216">
        <v>32611</v>
      </c>
      <c r="BJ251" s="216">
        <v>-24753</v>
      </c>
      <c r="BK251" s="216">
        <v>11857</v>
      </c>
      <c r="BL251" s="216">
        <v>13218</v>
      </c>
      <c r="BM251" s="151"/>
      <c r="BO251" s="216">
        <v>-20</v>
      </c>
      <c r="BP251" s="216">
        <v>422</v>
      </c>
      <c r="BQ251" s="216">
        <v>724</v>
      </c>
      <c r="BR251" s="216">
        <v>1194</v>
      </c>
      <c r="BS251" s="216">
        <v>190</v>
      </c>
      <c r="BT251" s="216">
        <v>0</v>
      </c>
      <c r="BU251" s="216">
        <v>-280</v>
      </c>
      <c r="BV251" s="183">
        <v>271</v>
      </c>
      <c r="BW251" s="183">
        <v>0</v>
      </c>
      <c r="BX251" s="184">
        <v>0</v>
      </c>
      <c r="BY251" s="183">
        <v>-9</v>
      </c>
      <c r="BZ251" s="183">
        <v>4761</v>
      </c>
      <c r="CA251" s="183">
        <v>308</v>
      </c>
      <c r="CB251" s="167"/>
      <c r="CC251" s="183">
        <v>-166</v>
      </c>
      <c r="CD251" s="183">
        <v>-196</v>
      </c>
      <c r="CE251" s="180">
        <v>-2062</v>
      </c>
      <c r="CF251" s="139">
        <v>11857</v>
      </c>
      <c r="CG251" s="216">
        <v>8447</v>
      </c>
      <c r="CH251" s="216">
        <v>1437</v>
      </c>
      <c r="CI251" s="216">
        <v>1973</v>
      </c>
      <c r="CJ251" s="212">
        <v>19</v>
      </c>
      <c r="CK251" s="144"/>
      <c r="CL251" s="130">
        <v>129</v>
      </c>
      <c r="CM251" s="228">
        <v>3631</v>
      </c>
      <c r="CN251" s="138"/>
      <c r="CO251" s="142">
        <v>22.612068965517242</v>
      </c>
      <c r="CP251" s="142">
        <v>19.84875054800526</v>
      </c>
      <c r="CQ251" s="183">
        <v>402.09308730377307</v>
      </c>
      <c r="CR251" s="144"/>
      <c r="CS251"/>
      <c r="CU251" s="232">
        <v>75.468324001055379</v>
      </c>
      <c r="CV251" s="143">
        <v>1976.865877168824</v>
      </c>
      <c r="CW251" s="146">
        <v>74.365473588600949</v>
      </c>
      <c r="CX251" s="143">
        <v>9702.836684109061</v>
      </c>
      <c r="CY251" s="131">
        <v>9813</v>
      </c>
      <c r="CZ251" s="229">
        <v>9205</v>
      </c>
      <c r="DA251" s="229">
        <v>34156</v>
      </c>
      <c r="DB251" s="216">
        <v>-24951</v>
      </c>
      <c r="DC251" s="229">
        <v>12646</v>
      </c>
      <c r="DD251" s="229">
        <v>14645</v>
      </c>
      <c r="DE251" s="151"/>
      <c r="DG251" s="229">
        <v>-3</v>
      </c>
      <c r="DH251" s="229">
        <v>277</v>
      </c>
      <c r="DI251" s="229">
        <v>2614</v>
      </c>
      <c r="DJ251" s="229">
        <v>1227</v>
      </c>
      <c r="DK251" s="229">
        <v>0</v>
      </c>
      <c r="DL251" s="229">
        <v>0</v>
      </c>
      <c r="DM251" s="229">
        <v>1387</v>
      </c>
      <c r="DN251" s="130">
        <v>277</v>
      </c>
      <c r="DO251" s="130">
        <v>-1600</v>
      </c>
      <c r="DP251" s="131">
        <v>0</v>
      </c>
      <c r="DQ251" s="130">
        <v>64</v>
      </c>
      <c r="DR251" s="130">
        <v>4825</v>
      </c>
      <c r="DS251" s="130">
        <v>2710</v>
      </c>
      <c r="DT251" s="167"/>
      <c r="DU251" s="183">
        <v>527</v>
      </c>
      <c r="DV251" s="183">
        <v>-107</v>
      </c>
      <c r="DW251" s="180">
        <v>1924</v>
      </c>
      <c r="DX251" s="130">
        <v>12646</v>
      </c>
      <c r="DY251" s="229">
        <v>9230</v>
      </c>
      <c r="DZ251" s="229">
        <v>1595</v>
      </c>
      <c r="EA251" s="229">
        <v>1821</v>
      </c>
      <c r="EB251" s="212">
        <v>19</v>
      </c>
      <c r="EC251" s="208"/>
      <c r="ED251" s="183">
        <v>123.529411764705</v>
      </c>
      <c r="EE251" s="3">
        <v>19932</v>
      </c>
      <c r="EF251" s="183">
        <v>19844</v>
      </c>
      <c r="EG251" s="130">
        <v>20142</v>
      </c>
      <c r="EH251" s="130"/>
      <c r="EI251" s="130"/>
      <c r="EJ251" s="130"/>
      <c r="EK251" s="183">
        <v>-4695</v>
      </c>
      <c r="EL251" s="183">
        <v>0</v>
      </c>
      <c r="EM251" s="183">
        <v>414</v>
      </c>
      <c r="EN251" s="226">
        <v>-2685</v>
      </c>
      <c r="EO251" s="226">
        <v>0</v>
      </c>
      <c r="EP251" s="226">
        <v>315</v>
      </c>
      <c r="EQ251" s="226">
        <v>-916</v>
      </c>
      <c r="ER251" s="230">
        <v>0</v>
      </c>
      <c r="ES251" s="230">
        <v>130</v>
      </c>
      <c r="ET251" s="3">
        <v>2000</v>
      </c>
      <c r="EU251" s="211">
        <v>0</v>
      </c>
      <c r="EV251" s="183">
        <v>0</v>
      </c>
      <c r="EW251" s="183">
        <v>1500</v>
      </c>
      <c r="EX251" s="130">
        <v>0</v>
      </c>
      <c r="EY251" s="183">
        <v>0</v>
      </c>
      <c r="EZ251" s="3">
        <v>2171</v>
      </c>
      <c r="FA251" s="3">
        <v>267</v>
      </c>
      <c r="FB251" s="3">
        <v>1904</v>
      </c>
      <c r="FC251" s="3">
        <v>0</v>
      </c>
      <c r="FD251" s="226">
        <v>3476</v>
      </c>
      <c r="FE251" s="183">
        <v>1869</v>
      </c>
      <c r="FF251" s="183">
        <v>1607</v>
      </c>
      <c r="FG251" s="183">
        <v>0</v>
      </c>
      <c r="FH251" s="230">
        <v>3369</v>
      </c>
      <c r="FI251" s="130">
        <v>1762</v>
      </c>
      <c r="FJ251" s="130">
        <v>1607</v>
      </c>
      <c r="FK251" s="130">
        <v>0</v>
      </c>
      <c r="FL251" s="29">
        <v>1317.8790301092461</v>
      </c>
      <c r="FM251" s="139">
        <v>1681.159420289855</v>
      </c>
      <c r="FN251" s="139">
        <v>1742.2197741668961</v>
      </c>
      <c r="FO251" s="172">
        <f t="shared" si="9"/>
        <v>485.78947368421052</v>
      </c>
      <c r="FP251" s="170">
        <f t="shared" si="10"/>
        <v>133.78944469408165</v>
      </c>
      <c r="FR251" s="175"/>
      <c r="FS251" s="195"/>
      <c r="FV251" s="175">
        <v>531</v>
      </c>
      <c r="FW251" s="2">
        <f t="shared" si="11"/>
        <v>-531</v>
      </c>
      <c r="FZ251" s="186"/>
      <c r="GA251" s="2"/>
      <c r="GB251" s="2"/>
    </row>
    <row r="252" spans="1:184" ht="13" x14ac:dyDescent="0.3">
      <c r="A252" s="77">
        <v>783</v>
      </c>
      <c r="B252" s="75" t="s">
        <v>241</v>
      </c>
      <c r="C252" s="179">
        <v>6811</v>
      </c>
      <c r="D252" s="138"/>
      <c r="E252" s="142">
        <v>0.98597422289613346</v>
      </c>
      <c r="F252" s="142">
        <v>33.416331481836174</v>
      </c>
      <c r="G252" s="183">
        <v>-1794.1565115254734</v>
      </c>
      <c r="H252" s="144"/>
      <c r="I252" s="186"/>
      <c r="K252" s="210">
        <v>60.594424774347978</v>
      </c>
      <c r="L252" s="143">
        <v>60.63720452209661</v>
      </c>
      <c r="M252" s="146">
        <v>3.0536199003362636</v>
      </c>
      <c r="N252" s="143">
        <v>7247.9812068712381</v>
      </c>
      <c r="O252" s="138">
        <v>20322</v>
      </c>
      <c r="P252" s="143">
        <v>7955</v>
      </c>
      <c r="Q252" s="184">
        <v>44441</v>
      </c>
      <c r="R252" s="184">
        <v>-36486</v>
      </c>
      <c r="S252" s="139">
        <v>27680</v>
      </c>
      <c r="T252" s="138">
        <v>11354</v>
      </c>
      <c r="U252" s="151"/>
      <c r="W252" s="183">
        <v>-46</v>
      </c>
      <c r="X252" s="183">
        <v>53</v>
      </c>
      <c r="Y252" s="184">
        <v>2555</v>
      </c>
      <c r="Z252" s="130">
        <v>2147</v>
      </c>
      <c r="AA252" s="130">
        <v>0</v>
      </c>
      <c r="AB252" s="130">
        <v>0</v>
      </c>
      <c r="AC252" s="184">
        <v>408</v>
      </c>
      <c r="AD252" s="183">
        <v>1</v>
      </c>
      <c r="AE252" s="183">
        <v>0</v>
      </c>
      <c r="AF252" s="183">
        <v>0</v>
      </c>
      <c r="AG252" s="183">
        <v>409</v>
      </c>
      <c r="AH252" s="183">
        <v>2001</v>
      </c>
      <c r="AI252" s="183">
        <v>2518</v>
      </c>
      <c r="AJ252" s="167"/>
      <c r="AK252" s="183">
        <v>477</v>
      </c>
      <c r="AL252" s="183">
        <v>-2592</v>
      </c>
      <c r="AM252" s="180">
        <v>411</v>
      </c>
      <c r="AN252" s="139">
        <v>27680</v>
      </c>
      <c r="AO252" s="138">
        <v>24251</v>
      </c>
      <c r="AP252" s="184">
        <v>1408</v>
      </c>
      <c r="AQ252" s="138">
        <v>2021</v>
      </c>
      <c r="AR252" s="109">
        <v>21.5</v>
      </c>
      <c r="AS252" s="144"/>
      <c r="AT252" s="139">
        <v>82</v>
      </c>
      <c r="AU252" s="228">
        <v>6721</v>
      </c>
      <c r="AV252" s="138"/>
      <c r="AW252" s="224">
        <v>0.3905830304945489</v>
      </c>
      <c r="AX252" s="225">
        <v>38.869394872236455</v>
      </c>
      <c r="AY252" s="139">
        <v>-2125.2789763428063</v>
      </c>
      <c r="AZ252" s="144"/>
      <c r="BA252"/>
      <c r="BC252" s="189">
        <v>55.391063506458494</v>
      </c>
      <c r="BD252" s="183">
        <v>108.76357684868323</v>
      </c>
      <c r="BE252" s="140">
        <v>5.410203378145467</v>
      </c>
      <c r="BF252" s="139">
        <v>7337.7473590239551</v>
      </c>
      <c r="BG252" s="184">
        <v>20940</v>
      </c>
      <c r="BH252" s="216">
        <v>8161</v>
      </c>
      <c r="BI252" s="216">
        <v>45871</v>
      </c>
      <c r="BJ252" s="216">
        <v>-37710</v>
      </c>
      <c r="BK252" s="216">
        <v>26603</v>
      </c>
      <c r="BL252" s="216">
        <v>11689</v>
      </c>
      <c r="BM252" s="151"/>
      <c r="BO252" s="216">
        <v>-38</v>
      </c>
      <c r="BP252" s="216">
        <v>35</v>
      </c>
      <c r="BQ252" s="216">
        <v>579</v>
      </c>
      <c r="BR252" s="216">
        <v>2258</v>
      </c>
      <c r="BS252" s="216">
        <v>0</v>
      </c>
      <c r="BT252" s="216">
        <v>0</v>
      </c>
      <c r="BU252" s="216">
        <v>-1679</v>
      </c>
      <c r="BV252" s="183">
        <v>1</v>
      </c>
      <c r="BW252" s="183">
        <v>0</v>
      </c>
      <c r="BX252" s="183">
        <v>0</v>
      </c>
      <c r="BY252" s="183">
        <v>-1678</v>
      </c>
      <c r="BZ252" s="183">
        <v>299</v>
      </c>
      <c r="CA252" s="183">
        <v>710</v>
      </c>
      <c r="CB252" s="167"/>
      <c r="CC252" s="183">
        <v>27</v>
      </c>
      <c r="CD252" s="183">
        <v>-671</v>
      </c>
      <c r="CE252" s="180">
        <v>-1961</v>
      </c>
      <c r="CF252" s="139">
        <v>26603</v>
      </c>
      <c r="CG252" s="216">
        <v>23265</v>
      </c>
      <c r="CH252" s="216">
        <v>1356</v>
      </c>
      <c r="CI252" s="216">
        <v>1982</v>
      </c>
      <c r="CJ252" s="212">
        <v>21.5</v>
      </c>
      <c r="CK252" s="144"/>
      <c r="CL252" s="130">
        <v>189</v>
      </c>
      <c r="CM252" s="228">
        <v>6646</v>
      </c>
      <c r="CN252" s="138"/>
      <c r="CO252" s="142">
        <v>6.963541666666667</v>
      </c>
      <c r="CP252" s="142">
        <v>35.345758508978925</v>
      </c>
      <c r="CQ252" s="183">
        <v>-1856.7559434246164</v>
      </c>
      <c r="CR252" s="144"/>
      <c r="CS252"/>
      <c r="CU252" s="232">
        <v>57.813168528642741</v>
      </c>
      <c r="CV252" s="143">
        <v>292.50677099006924</v>
      </c>
      <c r="CW252" s="146">
        <v>14.449263852403934</v>
      </c>
      <c r="CX252" s="143">
        <v>7388.9557628648809</v>
      </c>
      <c r="CY252" s="131">
        <v>20915</v>
      </c>
      <c r="CZ252" s="229">
        <v>7622</v>
      </c>
      <c r="DA252" s="229">
        <v>46043</v>
      </c>
      <c r="DB252" s="216">
        <v>-38421</v>
      </c>
      <c r="DC252" s="229">
        <v>27338</v>
      </c>
      <c r="DD252" s="229">
        <v>15046</v>
      </c>
      <c r="DE252" s="151"/>
      <c r="DG252" s="229">
        <v>-25</v>
      </c>
      <c r="DH252" s="229">
        <v>39</v>
      </c>
      <c r="DI252" s="229">
        <v>3977</v>
      </c>
      <c r="DJ252" s="229">
        <v>2328</v>
      </c>
      <c r="DK252" s="229">
        <v>0</v>
      </c>
      <c r="DL252" s="229">
        <v>0</v>
      </c>
      <c r="DM252" s="229">
        <v>1649</v>
      </c>
      <c r="DN252" s="130">
        <v>1</v>
      </c>
      <c r="DO252" s="130">
        <v>0</v>
      </c>
      <c r="DP252" s="130">
        <v>0</v>
      </c>
      <c r="DQ252" s="130">
        <v>1650</v>
      </c>
      <c r="DR252" s="130">
        <v>2023</v>
      </c>
      <c r="DS252" s="130">
        <v>4023</v>
      </c>
      <c r="DT252" s="167"/>
      <c r="DU252" s="183">
        <v>-349</v>
      </c>
      <c r="DV252" s="183">
        <v>-542</v>
      </c>
      <c r="DW252" s="180">
        <v>1787</v>
      </c>
      <c r="DX252" s="130">
        <v>27338</v>
      </c>
      <c r="DY252" s="229">
        <v>24094</v>
      </c>
      <c r="DZ252" s="229">
        <v>1386</v>
      </c>
      <c r="EA252" s="229">
        <v>1858</v>
      </c>
      <c r="EB252" s="212">
        <v>21.5</v>
      </c>
      <c r="EC252" s="208"/>
      <c r="ED252" s="183">
        <v>185.98529411764699</v>
      </c>
      <c r="EE252" s="3">
        <v>16958</v>
      </c>
      <c r="EF252" s="183">
        <v>17541</v>
      </c>
      <c r="EG252" s="130">
        <v>18012</v>
      </c>
      <c r="EH252" s="130"/>
      <c r="EI252" s="130"/>
      <c r="EJ252" s="130"/>
      <c r="EK252" s="183">
        <v>-2284</v>
      </c>
      <c r="EL252" s="183">
        <v>46</v>
      </c>
      <c r="EM252" s="183">
        <v>131</v>
      </c>
      <c r="EN252" s="226">
        <v>-2733</v>
      </c>
      <c r="EO252" s="226">
        <v>16</v>
      </c>
      <c r="EP252" s="226">
        <v>46</v>
      </c>
      <c r="EQ252" s="226">
        <v>-2486</v>
      </c>
      <c r="ER252" s="230">
        <v>111</v>
      </c>
      <c r="ES252" s="230">
        <v>139</v>
      </c>
      <c r="ET252" s="3">
        <v>0</v>
      </c>
      <c r="EU252" s="211">
        <v>0</v>
      </c>
      <c r="EV252" s="183">
        <v>0</v>
      </c>
      <c r="EW252" s="183">
        <v>3000</v>
      </c>
      <c r="EX252" s="130">
        <v>0</v>
      </c>
      <c r="EY252" s="183">
        <v>0</v>
      </c>
      <c r="EZ252" s="3">
        <v>7611</v>
      </c>
      <c r="FA252" s="3">
        <v>6940</v>
      </c>
      <c r="FB252" s="3">
        <v>671</v>
      </c>
      <c r="FC252" s="3">
        <v>348</v>
      </c>
      <c r="FD252" s="226">
        <v>9941</v>
      </c>
      <c r="FE252" s="183">
        <v>6399</v>
      </c>
      <c r="FF252" s="183">
        <v>3542</v>
      </c>
      <c r="FG252" s="183">
        <v>348</v>
      </c>
      <c r="FH252" s="230">
        <v>9398</v>
      </c>
      <c r="FI252" s="130">
        <v>5909</v>
      </c>
      <c r="FJ252" s="130">
        <v>3489</v>
      </c>
      <c r="FK252" s="130">
        <v>348</v>
      </c>
      <c r="FL252" s="29">
        <v>2609.602114226986</v>
      </c>
      <c r="FM252" s="139">
        <v>2898.9733670584737</v>
      </c>
      <c r="FN252" s="139">
        <v>2783.7797171230814</v>
      </c>
      <c r="FO252" s="172">
        <f t="shared" si="9"/>
        <v>1120.6511627906978</v>
      </c>
      <c r="FP252" s="170">
        <f t="shared" si="10"/>
        <v>168.62039765132377</v>
      </c>
      <c r="FR252" s="175"/>
      <c r="FS252" s="195"/>
      <c r="FV252" s="175">
        <v>170</v>
      </c>
      <c r="FW252" s="2">
        <f t="shared" si="11"/>
        <v>-170</v>
      </c>
      <c r="FZ252" s="186"/>
      <c r="GA252" s="2"/>
      <c r="GB252" s="2"/>
    </row>
    <row r="253" spans="1:184" ht="13" x14ac:dyDescent="0.3">
      <c r="A253" s="77">
        <v>831</v>
      </c>
      <c r="B253" s="75" t="s">
        <v>243</v>
      </c>
      <c r="C253" s="179">
        <v>4715</v>
      </c>
      <c r="D253" s="138"/>
      <c r="E253" s="142">
        <v>0.50088888888888894</v>
      </c>
      <c r="F253" s="142">
        <v>76.417233560090708</v>
      </c>
      <c r="G253" s="183">
        <v>-3963.0965005302228</v>
      </c>
      <c r="H253" s="144"/>
      <c r="I253" s="186"/>
      <c r="K253" s="210">
        <v>27.850782827446956</v>
      </c>
      <c r="L253" s="143">
        <v>418.87592788971369</v>
      </c>
      <c r="M253" s="146">
        <v>24.184755258831821</v>
      </c>
      <c r="N253" s="143">
        <v>6321.739130434783</v>
      </c>
      <c r="O253" s="138">
        <v>7354</v>
      </c>
      <c r="P253" s="143">
        <v>2690</v>
      </c>
      <c r="Q253" s="184">
        <v>26676</v>
      </c>
      <c r="R253" s="184">
        <v>-23986</v>
      </c>
      <c r="S253" s="139">
        <v>19008</v>
      </c>
      <c r="T253" s="138">
        <v>6085</v>
      </c>
      <c r="U253" s="151"/>
      <c r="W253" s="183">
        <v>-135</v>
      </c>
      <c r="X253" s="183">
        <v>4</v>
      </c>
      <c r="Y253" s="184">
        <v>976</v>
      </c>
      <c r="Z253" s="130">
        <v>2059</v>
      </c>
      <c r="AA253" s="130">
        <v>0</v>
      </c>
      <c r="AB253" s="130">
        <v>0</v>
      </c>
      <c r="AC253" s="184">
        <v>-1083</v>
      </c>
      <c r="AD253" s="183">
        <v>93</v>
      </c>
      <c r="AE253" s="183">
        <v>0</v>
      </c>
      <c r="AF253" s="183">
        <v>0</v>
      </c>
      <c r="AG253" s="183">
        <v>-990</v>
      </c>
      <c r="AH253" s="183">
        <v>-849</v>
      </c>
      <c r="AI253" s="183">
        <v>-373</v>
      </c>
      <c r="AJ253" s="167"/>
      <c r="AK253" s="183">
        <v>18</v>
      </c>
      <c r="AL253" s="183">
        <v>-2099</v>
      </c>
      <c r="AM253" s="180">
        <v>-1188</v>
      </c>
      <c r="AN253" s="139">
        <v>19008</v>
      </c>
      <c r="AO253" s="138">
        <v>16440</v>
      </c>
      <c r="AP253" s="184">
        <v>865</v>
      </c>
      <c r="AQ253" s="138">
        <v>1703</v>
      </c>
      <c r="AR253" s="109">
        <v>20.5</v>
      </c>
      <c r="AS253" s="144"/>
      <c r="AT253" s="139">
        <v>162</v>
      </c>
      <c r="AU253" s="228">
        <v>4671</v>
      </c>
      <c r="AV253" s="138"/>
      <c r="AW253" s="224">
        <v>0.76953063267133748</v>
      </c>
      <c r="AX253" s="225">
        <v>66.655124653739605</v>
      </c>
      <c r="AY253" s="139">
        <v>-3751.0169128666239</v>
      </c>
      <c r="AZ253" s="144"/>
      <c r="BA253"/>
      <c r="BC253" s="189">
        <v>29.801160486838381</v>
      </c>
      <c r="BD253" s="183">
        <v>201.66987797045601</v>
      </c>
      <c r="BE253" s="140">
        <v>11.403601870584724</v>
      </c>
      <c r="BF253" s="139">
        <v>6454.9347034896164</v>
      </c>
      <c r="BG253" s="184">
        <v>7048</v>
      </c>
      <c r="BH253" s="216">
        <v>2613</v>
      </c>
      <c r="BI253" s="216">
        <v>27077</v>
      </c>
      <c r="BJ253" s="216">
        <v>-24464</v>
      </c>
      <c r="BK253" s="216">
        <v>20225</v>
      </c>
      <c r="BL253" s="216">
        <v>6042</v>
      </c>
      <c r="BM253" s="151"/>
      <c r="BO253" s="216">
        <v>-136</v>
      </c>
      <c r="BP253" s="216">
        <v>8</v>
      </c>
      <c r="BQ253" s="216">
        <v>1675</v>
      </c>
      <c r="BR253" s="216">
        <v>1666</v>
      </c>
      <c r="BS253" s="216">
        <v>0</v>
      </c>
      <c r="BT253" s="216">
        <v>0</v>
      </c>
      <c r="BU253" s="216">
        <v>9</v>
      </c>
      <c r="BV253" s="183">
        <v>93</v>
      </c>
      <c r="BW253" s="183">
        <v>0</v>
      </c>
      <c r="BX253" s="183">
        <v>0</v>
      </c>
      <c r="BY253" s="183">
        <v>102</v>
      </c>
      <c r="BZ253" s="183">
        <v>-747</v>
      </c>
      <c r="CA253" s="183">
        <v>1686</v>
      </c>
      <c r="CB253" s="167"/>
      <c r="CC253" s="183">
        <v>-218</v>
      </c>
      <c r="CD253" s="183">
        <v>-2000</v>
      </c>
      <c r="CE253" s="180">
        <v>872</v>
      </c>
      <c r="CF253" s="139">
        <v>20225</v>
      </c>
      <c r="CG253" s="216">
        <v>17293</v>
      </c>
      <c r="CH253" s="216">
        <v>875</v>
      </c>
      <c r="CI253" s="216">
        <v>2057</v>
      </c>
      <c r="CJ253" s="212">
        <v>21</v>
      </c>
      <c r="CK253" s="144"/>
      <c r="CL253" s="130">
        <v>70</v>
      </c>
      <c r="CM253" s="228">
        <v>4628</v>
      </c>
      <c r="CN253" s="138"/>
      <c r="CO253" s="142">
        <v>1.4994877049180328</v>
      </c>
      <c r="CP253" s="142">
        <v>56.76180658462728</v>
      </c>
      <c r="CQ253" s="183">
        <v>-3132.0224719101125</v>
      </c>
      <c r="CR253" s="144"/>
      <c r="CS253"/>
      <c r="CU253" s="232">
        <v>33.557328853422931</v>
      </c>
      <c r="CV253" s="143">
        <v>539.97407087294732</v>
      </c>
      <c r="CW253" s="146">
        <v>29.649427902743465</v>
      </c>
      <c r="CX253" s="143">
        <v>6647.3638720829731</v>
      </c>
      <c r="CY253" s="131">
        <v>7175</v>
      </c>
      <c r="CZ253" s="229">
        <v>2659</v>
      </c>
      <c r="DA253" s="229">
        <v>28166</v>
      </c>
      <c r="DB253" s="216">
        <v>-25507</v>
      </c>
      <c r="DC253" s="229">
        <v>20263</v>
      </c>
      <c r="DD253" s="229">
        <v>8157</v>
      </c>
      <c r="DE253" s="151"/>
      <c r="DG253" s="229">
        <v>-126</v>
      </c>
      <c r="DH253" s="229">
        <v>5</v>
      </c>
      <c r="DI253" s="229">
        <v>2792</v>
      </c>
      <c r="DJ253" s="229">
        <v>1626</v>
      </c>
      <c r="DK253" s="229">
        <v>0</v>
      </c>
      <c r="DL253" s="229">
        <v>0</v>
      </c>
      <c r="DM253" s="229">
        <v>1166</v>
      </c>
      <c r="DN253" s="130">
        <v>93</v>
      </c>
      <c r="DO253" s="130">
        <v>0</v>
      </c>
      <c r="DP253" s="130">
        <v>0</v>
      </c>
      <c r="DQ253" s="130">
        <v>1259</v>
      </c>
      <c r="DR253" s="130">
        <v>511</v>
      </c>
      <c r="DS253" s="130">
        <v>3387</v>
      </c>
      <c r="DT253" s="167"/>
      <c r="DU253" s="183">
        <v>163</v>
      </c>
      <c r="DV253" s="183">
        <v>-1817</v>
      </c>
      <c r="DW253" s="180">
        <v>3034</v>
      </c>
      <c r="DX253" s="130">
        <v>20263</v>
      </c>
      <c r="DY253" s="229">
        <v>17502</v>
      </c>
      <c r="DZ253" s="229">
        <v>868</v>
      </c>
      <c r="EA253" s="229">
        <v>1893</v>
      </c>
      <c r="EB253" s="212">
        <v>21</v>
      </c>
      <c r="EC253" s="208"/>
      <c r="ED253" s="183">
        <v>183.970588235294</v>
      </c>
      <c r="EE253" s="3">
        <v>17281</v>
      </c>
      <c r="EF253" s="183">
        <v>18022</v>
      </c>
      <c r="EG253" s="130">
        <v>18257</v>
      </c>
      <c r="EH253" s="130"/>
      <c r="EI253" s="130"/>
      <c r="EJ253" s="130">
        <v>330</v>
      </c>
      <c r="EK253" s="183">
        <v>-874</v>
      </c>
      <c r="EL253" s="183">
        <v>21</v>
      </c>
      <c r="EM253" s="183">
        <v>38</v>
      </c>
      <c r="EN253" s="226">
        <v>-912</v>
      </c>
      <c r="EO253" s="226">
        <v>0</v>
      </c>
      <c r="EP253" s="226">
        <v>98</v>
      </c>
      <c r="EQ253" s="226">
        <v>-676</v>
      </c>
      <c r="ER253" s="230">
        <v>0</v>
      </c>
      <c r="ES253" s="230">
        <v>323</v>
      </c>
      <c r="ET253" s="3">
        <v>2000</v>
      </c>
      <c r="EU253" s="211">
        <v>0</v>
      </c>
      <c r="EV253" s="183">
        <v>1800</v>
      </c>
      <c r="EW253" s="183">
        <v>0</v>
      </c>
      <c r="EX253" s="130">
        <v>0</v>
      </c>
      <c r="EY253" s="183">
        <v>0</v>
      </c>
      <c r="EZ253" s="3">
        <v>17484</v>
      </c>
      <c r="FA253" s="3">
        <v>15484</v>
      </c>
      <c r="FB253" s="3">
        <v>2000</v>
      </c>
      <c r="FC253" s="3">
        <v>610</v>
      </c>
      <c r="FD253" s="226">
        <v>17283</v>
      </c>
      <c r="FE253" s="183">
        <v>15266</v>
      </c>
      <c r="FF253" s="183">
        <v>2017</v>
      </c>
      <c r="FG253" s="183">
        <v>292</v>
      </c>
      <c r="FH253" s="230">
        <v>15467</v>
      </c>
      <c r="FI253" s="130">
        <v>13424</v>
      </c>
      <c r="FJ253" s="130">
        <v>2043</v>
      </c>
      <c r="FK253" s="130">
        <v>600</v>
      </c>
      <c r="FL253" s="29">
        <v>5617.3913043478269</v>
      </c>
      <c r="FM253" s="139">
        <v>5521.9439092271459</v>
      </c>
      <c r="FN253" s="139">
        <v>5185.393258426966</v>
      </c>
      <c r="FO253" s="172">
        <f t="shared" si="9"/>
        <v>833.42857142857144</v>
      </c>
      <c r="FP253" s="170">
        <f t="shared" si="10"/>
        <v>180.08396098283737</v>
      </c>
      <c r="FR253" s="175"/>
      <c r="FS253" s="195"/>
      <c r="FV253" s="175">
        <v>619</v>
      </c>
      <c r="FW253" s="2">
        <f t="shared" si="11"/>
        <v>-619</v>
      </c>
      <c r="FZ253" s="186"/>
      <c r="GA253" s="2"/>
      <c r="GB253" s="2"/>
    </row>
    <row r="254" spans="1:184" ht="13" x14ac:dyDescent="0.3">
      <c r="A254" s="77">
        <v>832</v>
      </c>
      <c r="B254" s="75" t="s">
        <v>244</v>
      </c>
      <c r="C254" s="179">
        <v>4024</v>
      </c>
      <c r="D254" s="138"/>
      <c r="E254" s="142">
        <v>1.7589743589743589</v>
      </c>
      <c r="F254" s="142">
        <v>28.366495687954455</v>
      </c>
      <c r="G254" s="183">
        <v>-1597.1669980119286</v>
      </c>
      <c r="H254" s="144"/>
      <c r="I254" s="186"/>
      <c r="K254" s="210">
        <v>69.473274908025004</v>
      </c>
      <c r="L254" s="143">
        <v>458.99602385685881</v>
      </c>
      <c r="M254" s="146">
        <v>17.541501873438801</v>
      </c>
      <c r="N254" s="143">
        <v>9550.6958250497028</v>
      </c>
      <c r="O254" s="138">
        <v>15538</v>
      </c>
      <c r="P254" s="143">
        <v>5755</v>
      </c>
      <c r="Q254" s="184">
        <v>34543</v>
      </c>
      <c r="R254" s="184">
        <v>-28788</v>
      </c>
      <c r="S254" s="139">
        <v>11791</v>
      </c>
      <c r="T254" s="138">
        <v>17936</v>
      </c>
      <c r="U254" s="151"/>
      <c r="W254" s="183">
        <v>-18</v>
      </c>
      <c r="X254" s="183">
        <v>90</v>
      </c>
      <c r="Y254" s="184">
        <v>1011</v>
      </c>
      <c r="Z254" s="130">
        <v>1915</v>
      </c>
      <c r="AA254" s="131">
        <v>0</v>
      </c>
      <c r="AB254" s="131">
        <v>0</v>
      </c>
      <c r="AC254" s="184">
        <v>-904</v>
      </c>
      <c r="AD254" s="184">
        <v>11</v>
      </c>
      <c r="AE254" s="183">
        <v>0</v>
      </c>
      <c r="AF254" s="183">
        <v>0</v>
      </c>
      <c r="AG254" s="183">
        <v>-893</v>
      </c>
      <c r="AH254" s="183">
        <v>10611</v>
      </c>
      <c r="AI254" s="183">
        <v>992</v>
      </c>
      <c r="AJ254" s="167"/>
      <c r="AK254" s="183">
        <v>159</v>
      </c>
      <c r="AL254" s="183">
        <v>-567</v>
      </c>
      <c r="AM254" s="180">
        <v>-2025</v>
      </c>
      <c r="AN254" s="139">
        <v>11791</v>
      </c>
      <c r="AO254" s="138">
        <v>9662</v>
      </c>
      <c r="AP254" s="184">
        <v>1232</v>
      </c>
      <c r="AQ254" s="138">
        <v>897</v>
      </c>
      <c r="AR254" s="109">
        <v>20.5</v>
      </c>
      <c r="AS254" s="144"/>
      <c r="AT254" s="139">
        <v>137</v>
      </c>
      <c r="AU254" s="228">
        <v>3976</v>
      </c>
      <c r="AV254" s="138"/>
      <c r="AW254" s="224">
        <v>1.7740100390407139</v>
      </c>
      <c r="AX254" s="225">
        <v>33.996272704514475</v>
      </c>
      <c r="AY254" s="139">
        <v>-1940.8953722334004</v>
      </c>
      <c r="AZ254" s="144"/>
      <c r="BA254"/>
      <c r="BC254" s="189">
        <v>64.42315964555074</v>
      </c>
      <c r="BD254" s="183">
        <v>584.50704225352115</v>
      </c>
      <c r="BE254" s="140">
        <v>22.164563246322281</v>
      </c>
      <c r="BF254" s="139">
        <v>9625.5030181086513</v>
      </c>
      <c r="BG254" s="184">
        <v>15936</v>
      </c>
      <c r="BH254" s="216">
        <v>5913</v>
      </c>
      <c r="BI254" s="216">
        <v>34278</v>
      </c>
      <c r="BJ254" s="216">
        <v>-28126</v>
      </c>
      <c r="BK254" s="216">
        <v>11979</v>
      </c>
      <c r="BL254" s="216">
        <v>18059</v>
      </c>
      <c r="BM254" s="151"/>
      <c r="BO254" s="216">
        <v>-42</v>
      </c>
      <c r="BP254" s="216">
        <v>75</v>
      </c>
      <c r="BQ254" s="216">
        <v>1945</v>
      </c>
      <c r="BR254" s="216">
        <v>2707</v>
      </c>
      <c r="BS254" s="216">
        <v>0</v>
      </c>
      <c r="BT254" s="216">
        <v>0</v>
      </c>
      <c r="BU254" s="216">
        <v>-762</v>
      </c>
      <c r="BV254" s="184">
        <v>11</v>
      </c>
      <c r="BW254" s="183">
        <v>0</v>
      </c>
      <c r="BX254" s="183">
        <v>0</v>
      </c>
      <c r="BY254" s="183">
        <v>-751</v>
      </c>
      <c r="BZ254" s="183">
        <v>9860</v>
      </c>
      <c r="CA254" s="183">
        <v>1926</v>
      </c>
      <c r="CB254" s="167"/>
      <c r="CC254" s="183">
        <v>-390</v>
      </c>
      <c r="CD254" s="183">
        <v>-915</v>
      </c>
      <c r="CE254" s="180">
        <v>-1326</v>
      </c>
      <c r="CF254" s="139">
        <v>11979</v>
      </c>
      <c r="CG254" s="216">
        <v>9759</v>
      </c>
      <c r="CH254" s="216">
        <v>1305</v>
      </c>
      <c r="CI254" s="216">
        <v>915</v>
      </c>
      <c r="CJ254" s="212">
        <v>20.5</v>
      </c>
      <c r="CK254" s="144"/>
      <c r="CL254" s="130">
        <v>38</v>
      </c>
      <c r="CM254" s="228">
        <v>3916</v>
      </c>
      <c r="CN254" s="138"/>
      <c r="CO254" s="142">
        <v>7.2426343154246098</v>
      </c>
      <c r="CP254" s="142">
        <v>28.879989665417906</v>
      </c>
      <c r="CQ254" s="183">
        <v>-1983.1460674157304</v>
      </c>
      <c r="CR254" s="144"/>
      <c r="CS254"/>
      <c r="CU254" s="232">
        <v>68.064597953834451</v>
      </c>
      <c r="CV254" s="143">
        <v>365.16853932584269</v>
      </c>
      <c r="CW254" s="146">
        <v>13.24107663816941</v>
      </c>
      <c r="CX254" s="143">
        <v>10066.138917262513</v>
      </c>
      <c r="CY254" s="131">
        <v>16260</v>
      </c>
      <c r="CZ254" s="229">
        <v>5943</v>
      </c>
      <c r="DA254" s="229">
        <v>34782</v>
      </c>
      <c r="DB254" s="216">
        <v>-28839</v>
      </c>
      <c r="DC254" s="229">
        <v>12483</v>
      </c>
      <c r="DD254" s="229">
        <v>20464</v>
      </c>
      <c r="DE254" s="151"/>
      <c r="DG254" s="229">
        <v>-38</v>
      </c>
      <c r="DH254" s="229">
        <v>70</v>
      </c>
      <c r="DI254" s="229">
        <v>4140</v>
      </c>
      <c r="DJ254" s="229">
        <v>2455</v>
      </c>
      <c r="DK254" s="229">
        <v>0</v>
      </c>
      <c r="DL254" s="229">
        <v>0</v>
      </c>
      <c r="DM254" s="229">
        <v>1685</v>
      </c>
      <c r="DN254" s="131">
        <v>1</v>
      </c>
      <c r="DO254" s="130">
        <v>0</v>
      </c>
      <c r="DP254" s="130">
        <v>0</v>
      </c>
      <c r="DQ254" s="130">
        <v>1686</v>
      </c>
      <c r="DR254" s="130">
        <v>11546</v>
      </c>
      <c r="DS254" s="130">
        <v>4143</v>
      </c>
      <c r="DT254" s="167"/>
      <c r="DU254" s="183">
        <v>-114</v>
      </c>
      <c r="DV254" s="183">
        <v>-538</v>
      </c>
      <c r="DW254" s="180">
        <v>-79</v>
      </c>
      <c r="DX254" s="130">
        <v>12483</v>
      </c>
      <c r="DY254" s="229">
        <v>10079</v>
      </c>
      <c r="DZ254" s="229">
        <v>1561</v>
      </c>
      <c r="EA254" s="229">
        <v>843</v>
      </c>
      <c r="EB254" s="212">
        <v>20.5</v>
      </c>
      <c r="EC254" s="208"/>
      <c r="ED254" s="183">
        <v>24.8088235294118</v>
      </c>
      <c r="EE254" s="3">
        <v>13425</v>
      </c>
      <c r="EF254" s="183">
        <v>12968</v>
      </c>
      <c r="EG254" s="130">
        <v>12885</v>
      </c>
      <c r="EH254" s="130"/>
      <c r="EI254" s="130"/>
      <c r="EJ254" s="130"/>
      <c r="EK254" s="183">
        <v>-3302</v>
      </c>
      <c r="EL254" s="183">
        <v>220</v>
      </c>
      <c r="EM254" s="183">
        <v>65</v>
      </c>
      <c r="EN254" s="226">
        <v>-3272</v>
      </c>
      <c r="EO254" s="226">
        <v>0</v>
      </c>
      <c r="EP254" s="226">
        <v>20</v>
      </c>
      <c r="EQ254" s="226">
        <v>-4244</v>
      </c>
      <c r="ER254" s="230">
        <v>0</v>
      </c>
      <c r="ES254" s="230">
        <v>22</v>
      </c>
      <c r="ET254" s="3">
        <v>2500</v>
      </c>
      <c r="EU254" s="211">
        <v>0</v>
      </c>
      <c r="EV254" s="183">
        <v>3500</v>
      </c>
      <c r="EW254" s="183">
        <v>0</v>
      </c>
      <c r="EX254" s="130">
        <v>0</v>
      </c>
      <c r="EY254" s="183">
        <v>0</v>
      </c>
      <c r="EZ254" s="3">
        <v>3919</v>
      </c>
      <c r="FA254" s="3">
        <v>3235</v>
      </c>
      <c r="FB254" s="3">
        <v>684</v>
      </c>
      <c r="FC254" s="3">
        <v>719</v>
      </c>
      <c r="FD254" s="226">
        <v>6504</v>
      </c>
      <c r="FE254" s="183">
        <v>5966</v>
      </c>
      <c r="FF254" s="183">
        <v>538</v>
      </c>
      <c r="FG254" s="183">
        <v>718</v>
      </c>
      <c r="FH254" s="230">
        <v>5966</v>
      </c>
      <c r="FI254" s="130">
        <v>5308</v>
      </c>
      <c r="FJ254" s="130">
        <v>658</v>
      </c>
      <c r="FK254" s="130">
        <v>718</v>
      </c>
      <c r="FL254" s="29">
        <v>2987.5745526838969</v>
      </c>
      <c r="FM254" s="139">
        <v>3804.0744466800807</v>
      </c>
      <c r="FN254" s="139">
        <v>4201.2257405515838</v>
      </c>
      <c r="FO254" s="172">
        <f t="shared" si="9"/>
        <v>491.65853658536588</v>
      </c>
      <c r="FP254" s="170">
        <f t="shared" si="10"/>
        <v>125.55120954682478</v>
      </c>
      <c r="FR254" s="175"/>
      <c r="FS254" s="195"/>
      <c r="FV254" s="175">
        <v>772</v>
      </c>
      <c r="FW254" s="2">
        <f t="shared" si="11"/>
        <v>-772</v>
      </c>
      <c r="FZ254" s="186"/>
      <c r="GA254" s="2"/>
      <c r="GB254" s="2"/>
    </row>
    <row r="255" spans="1:184" ht="13" x14ac:dyDescent="0.3">
      <c r="A255" s="77">
        <v>833</v>
      </c>
      <c r="B255" s="75" t="s">
        <v>245</v>
      </c>
      <c r="C255" s="179">
        <v>1662</v>
      </c>
      <c r="D255" s="138"/>
      <c r="E255" s="142">
        <v>6.4576271186440675</v>
      </c>
      <c r="F255" s="142">
        <v>74.30045964035159</v>
      </c>
      <c r="G255" s="183">
        <v>-2779.7833935018052</v>
      </c>
      <c r="H255" s="144"/>
      <c r="I255" s="186"/>
      <c r="K255" s="210">
        <v>52.261785356068202</v>
      </c>
      <c r="L255" s="143">
        <v>2500</v>
      </c>
      <c r="M255" s="146">
        <v>124.8415377016793</v>
      </c>
      <c r="N255" s="143">
        <v>7309.2659446450052</v>
      </c>
      <c r="O255" s="138">
        <v>4212</v>
      </c>
      <c r="P255" s="143">
        <v>1449</v>
      </c>
      <c r="Q255" s="184">
        <v>11319</v>
      </c>
      <c r="R255" s="184">
        <v>-9870</v>
      </c>
      <c r="S255" s="139">
        <v>6617</v>
      </c>
      <c r="T255" s="138">
        <v>4335</v>
      </c>
      <c r="U255" s="151"/>
      <c r="W255" s="183">
        <v>-43</v>
      </c>
      <c r="X255" s="183">
        <v>5</v>
      </c>
      <c r="Y255" s="184">
        <v>1044</v>
      </c>
      <c r="Z255" s="130">
        <v>509</v>
      </c>
      <c r="AA255" s="130">
        <v>0</v>
      </c>
      <c r="AB255" s="130">
        <v>0</v>
      </c>
      <c r="AC255" s="184">
        <v>535</v>
      </c>
      <c r="AD255" s="184">
        <v>0</v>
      </c>
      <c r="AE255" s="183">
        <v>0</v>
      </c>
      <c r="AF255" s="183">
        <v>0</v>
      </c>
      <c r="AG255" s="183">
        <v>535</v>
      </c>
      <c r="AH255" s="183">
        <v>5507</v>
      </c>
      <c r="AI255" s="183">
        <v>1223</v>
      </c>
      <c r="AJ255" s="167"/>
      <c r="AK255" s="183">
        <v>-91</v>
      </c>
      <c r="AL255" s="183">
        <v>-78</v>
      </c>
      <c r="AM255" s="180">
        <v>670</v>
      </c>
      <c r="AN255" s="139">
        <v>6617</v>
      </c>
      <c r="AO255" s="138">
        <v>5200</v>
      </c>
      <c r="AP255" s="184">
        <v>226</v>
      </c>
      <c r="AQ255" s="138">
        <v>1191</v>
      </c>
      <c r="AR255" s="109">
        <v>20.75</v>
      </c>
      <c r="AS255" s="144"/>
      <c r="AT255" s="139">
        <v>17</v>
      </c>
      <c r="AU255" s="228">
        <v>1639</v>
      </c>
      <c r="AV255" s="138"/>
      <c r="AW255" s="224">
        <v>0.8132325555920692</v>
      </c>
      <c r="AX255" s="225">
        <v>75.52292674924125</v>
      </c>
      <c r="AY255" s="139">
        <v>-2842.5869432580844</v>
      </c>
      <c r="AZ255" s="144"/>
      <c r="BA255"/>
      <c r="BC255" s="189">
        <v>53.035819720527456</v>
      </c>
      <c r="BD255" s="183">
        <v>2242.2208663819401</v>
      </c>
      <c r="BE255" s="140">
        <v>105.56189501849374</v>
      </c>
      <c r="BF255" s="139">
        <v>7752.898108602807</v>
      </c>
      <c r="BG255" s="184">
        <v>4569</v>
      </c>
      <c r="BH255" s="216">
        <v>1559</v>
      </c>
      <c r="BI255" s="216">
        <v>11270</v>
      </c>
      <c r="BJ255" s="216">
        <v>-9711</v>
      </c>
      <c r="BK255" s="216">
        <v>6568</v>
      </c>
      <c r="BL255" s="216">
        <v>4064</v>
      </c>
      <c r="BM255" s="151"/>
      <c r="BO255" s="216">
        <v>-94</v>
      </c>
      <c r="BP255" s="216">
        <v>4</v>
      </c>
      <c r="BQ255" s="216">
        <v>831</v>
      </c>
      <c r="BR255" s="216">
        <v>456</v>
      </c>
      <c r="BS255" s="216">
        <v>0</v>
      </c>
      <c r="BT255" s="216">
        <v>0</v>
      </c>
      <c r="BU255" s="216">
        <v>375</v>
      </c>
      <c r="BV255" s="184">
        <v>0</v>
      </c>
      <c r="BW255" s="183">
        <v>0</v>
      </c>
      <c r="BX255" s="183">
        <v>0</v>
      </c>
      <c r="BY255" s="183">
        <v>375</v>
      </c>
      <c r="BZ255" s="183">
        <v>5882</v>
      </c>
      <c r="CA255" s="183">
        <v>810</v>
      </c>
      <c r="CB255" s="167"/>
      <c r="CC255" s="183">
        <v>-434</v>
      </c>
      <c r="CD255" s="183">
        <v>-139</v>
      </c>
      <c r="CE255" s="180">
        <v>354</v>
      </c>
      <c r="CF255" s="139">
        <v>6568</v>
      </c>
      <c r="CG255" s="216">
        <v>5100</v>
      </c>
      <c r="CH255" s="216">
        <v>241</v>
      </c>
      <c r="CI255" s="216">
        <v>1227</v>
      </c>
      <c r="CJ255" s="212">
        <v>20.75</v>
      </c>
      <c r="CK255" s="144"/>
      <c r="CL255" s="130">
        <v>30</v>
      </c>
      <c r="CM255" s="228">
        <v>1659</v>
      </c>
      <c r="CN255" s="138"/>
      <c r="CO255" s="142">
        <v>8.75</v>
      </c>
      <c r="CP255" s="142">
        <v>67.969326058103519</v>
      </c>
      <c r="CQ255" s="183">
        <v>-1555.1537070524412</v>
      </c>
      <c r="CR255" s="144"/>
      <c r="CS255"/>
      <c r="CU255" s="232">
        <v>57.261058186859877</v>
      </c>
      <c r="CV255" s="143">
        <v>3613.0198915009041</v>
      </c>
      <c r="CW255" s="146">
        <v>181.92333277897887</v>
      </c>
      <c r="CX255" s="143">
        <v>7248.9451476793247</v>
      </c>
      <c r="CY255" s="131">
        <v>4658</v>
      </c>
      <c r="CZ255" s="229">
        <v>1539</v>
      </c>
      <c r="DA255" s="229">
        <v>10977</v>
      </c>
      <c r="DB255" s="216">
        <v>-9438</v>
      </c>
      <c r="DC255" s="229">
        <v>7091</v>
      </c>
      <c r="DD255" s="229">
        <v>4932</v>
      </c>
      <c r="DE255" s="151"/>
      <c r="DG255" s="229">
        <v>-94</v>
      </c>
      <c r="DH255" s="229">
        <v>4</v>
      </c>
      <c r="DI255" s="229">
        <v>2495</v>
      </c>
      <c r="DJ255" s="229">
        <v>471</v>
      </c>
      <c r="DK255" s="229">
        <v>0</v>
      </c>
      <c r="DL255" s="229">
        <v>0</v>
      </c>
      <c r="DM255" s="229">
        <v>2024</v>
      </c>
      <c r="DN255" s="131">
        <v>0</v>
      </c>
      <c r="DO255" s="130">
        <v>0</v>
      </c>
      <c r="DP255" s="130">
        <v>0</v>
      </c>
      <c r="DQ255" s="130">
        <v>2024</v>
      </c>
      <c r="DR255" s="130">
        <v>7906</v>
      </c>
      <c r="DS255" s="130">
        <v>2494</v>
      </c>
      <c r="DT255" s="167"/>
      <c r="DU255" s="183">
        <v>230</v>
      </c>
      <c r="DV255" s="183">
        <v>-201</v>
      </c>
      <c r="DW255" s="180">
        <v>2118</v>
      </c>
      <c r="DX255" s="130">
        <v>7091</v>
      </c>
      <c r="DY255" s="229">
        <v>5706</v>
      </c>
      <c r="DZ255" s="229">
        <v>270</v>
      </c>
      <c r="EA255" s="229">
        <v>1115</v>
      </c>
      <c r="EB255" s="212">
        <v>20.75</v>
      </c>
      <c r="EC255" s="208"/>
      <c r="ED255" s="183">
        <v>4</v>
      </c>
      <c r="EE255" s="3">
        <v>5825</v>
      </c>
      <c r="EF255" s="183">
        <v>5719</v>
      </c>
      <c r="EG255" s="130">
        <v>5319</v>
      </c>
      <c r="EH255" s="130"/>
      <c r="EI255" s="130"/>
      <c r="EJ255" s="130"/>
      <c r="EK255" s="183">
        <v>-616</v>
      </c>
      <c r="EL255" s="183">
        <v>28</v>
      </c>
      <c r="EM255" s="183">
        <v>35</v>
      </c>
      <c r="EN255" s="226">
        <v>-808</v>
      </c>
      <c r="EO255" s="226">
        <v>325</v>
      </c>
      <c r="EP255" s="226">
        <v>27</v>
      </c>
      <c r="EQ255" s="226">
        <v>-702</v>
      </c>
      <c r="ER255" s="230">
        <v>325</v>
      </c>
      <c r="ES255" s="230">
        <v>1</v>
      </c>
      <c r="ET255" s="3">
        <v>0</v>
      </c>
      <c r="EU255" s="211">
        <v>0</v>
      </c>
      <c r="EV255" s="183">
        <v>0</v>
      </c>
      <c r="EW255" s="183">
        <v>0</v>
      </c>
      <c r="EX255" s="130">
        <v>0</v>
      </c>
      <c r="EY255" s="183">
        <v>0</v>
      </c>
      <c r="EZ255" s="3">
        <v>7961</v>
      </c>
      <c r="FA255" s="3">
        <v>7822</v>
      </c>
      <c r="FB255" s="3">
        <v>139</v>
      </c>
      <c r="FC255" s="3">
        <v>1171</v>
      </c>
      <c r="FD255" s="226">
        <v>7822</v>
      </c>
      <c r="FE255" s="183">
        <v>7621</v>
      </c>
      <c r="FF255" s="183">
        <v>201</v>
      </c>
      <c r="FG255" s="183">
        <v>1563</v>
      </c>
      <c r="FH255" s="230">
        <v>7622</v>
      </c>
      <c r="FI255" s="130">
        <v>7330</v>
      </c>
      <c r="FJ255" s="130">
        <v>292</v>
      </c>
      <c r="FK255" s="130">
        <v>1613</v>
      </c>
      <c r="FL255" s="29">
        <v>5711.7930204572804</v>
      </c>
      <c r="FM255" s="139">
        <v>5676.0219646125688</v>
      </c>
      <c r="FN255" s="139">
        <v>5400.2411091018685</v>
      </c>
      <c r="FO255" s="172">
        <f t="shared" si="9"/>
        <v>274.98795180722891</v>
      </c>
      <c r="FP255" s="170">
        <f t="shared" si="10"/>
        <v>165.75524521231401</v>
      </c>
      <c r="FR255" s="175"/>
      <c r="FS255" s="195"/>
      <c r="FV255" s="175">
        <v>119</v>
      </c>
      <c r="FW255" s="2">
        <f t="shared" si="11"/>
        <v>-119</v>
      </c>
      <c r="FZ255" s="186"/>
      <c r="GA255" s="2"/>
      <c r="GB255" s="2"/>
    </row>
    <row r="256" spans="1:184" ht="13" x14ac:dyDescent="0.3">
      <c r="A256" s="77">
        <v>834</v>
      </c>
      <c r="B256" s="75" t="s">
        <v>246</v>
      </c>
      <c r="C256" s="179">
        <v>6081</v>
      </c>
      <c r="D256" s="138"/>
      <c r="E256" s="142">
        <v>1.218034993270525</v>
      </c>
      <c r="F256" s="142">
        <v>30.39819320839943</v>
      </c>
      <c r="G256" s="183">
        <v>-1633.1195527051473</v>
      </c>
      <c r="H256" s="144"/>
      <c r="I256" s="186"/>
      <c r="K256" s="210">
        <v>69.262005649717509</v>
      </c>
      <c r="L256" s="143">
        <v>30.751521131392863</v>
      </c>
      <c r="M256" s="146">
        <v>1.7498141359243213</v>
      </c>
      <c r="N256" s="143">
        <v>6414.5699720440725</v>
      </c>
      <c r="O256" s="138">
        <v>10030</v>
      </c>
      <c r="P256" s="143">
        <v>4468</v>
      </c>
      <c r="Q256" s="184">
        <v>36348</v>
      </c>
      <c r="R256" s="184">
        <v>-31880</v>
      </c>
      <c r="S256" s="139">
        <v>21177</v>
      </c>
      <c r="T256" s="138">
        <v>11585</v>
      </c>
      <c r="U256" s="151"/>
      <c r="W256" s="183">
        <v>-44</v>
      </c>
      <c r="X256" s="183">
        <v>21</v>
      </c>
      <c r="Y256" s="184">
        <v>859</v>
      </c>
      <c r="Z256" s="130">
        <v>2044</v>
      </c>
      <c r="AA256" s="130">
        <v>0</v>
      </c>
      <c r="AB256" s="130">
        <v>0</v>
      </c>
      <c r="AC256" s="184">
        <v>-1185</v>
      </c>
      <c r="AD256" s="184">
        <v>113</v>
      </c>
      <c r="AE256" s="184">
        <v>0</v>
      </c>
      <c r="AF256" s="183">
        <v>0</v>
      </c>
      <c r="AG256" s="183">
        <v>-1072</v>
      </c>
      <c r="AH256" s="183">
        <v>7404</v>
      </c>
      <c r="AI256" s="183">
        <v>767</v>
      </c>
      <c r="AJ256" s="167"/>
      <c r="AK256" s="183">
        <v>-50</v>
      </c>
      <c r="AL256" s="183">
        <v>-697</v>
      </c>
      <c r="AM256" s="180">
        <v>-989</v>
      </c>
      <c r="AN256" s="139">
        <v>21177</v>
      </c>
      <c r="AO256" s="138">
        <v>18349</v>
      </c>
      <c r="AP256" s="184">
        <v>1245</v>
      </c>
      <c r="AQ256" s="138">
        <v>1583</v>
      </c>
      <c r="AR256" s="109">
        <v>20.25</v>
      </c>
      <c r="AS256" s="144"/>
      <c r="AT256" s="139">
        <v>203</v>
      </c>
      <c r="AU256" s="228">
        <v>6015</v>
      </c>
      <c r="AV256" s="138"/>
      <c r="AW256" s="224">
        <v>-0.36605981794538361</v>
      </c>
      <c r="AX256" s="225">
        <v>35.900621118012424</v>
      </c>
      <c r="AY256" s="139">
        <v>-1924.5220282626767</v>
      </c>
      <c r="AZ256" s="144"/>
      <c r="BA256"/>
      <c r="BC256" s="189">
        <v>63.133970069972932</v>
      </c>
      <c r="BD256" s="183">
        <v>114.21446384039901</v>
      </c>
      <c r="BE256" s="140">
        <v>6.1524400716441345</v>
      </c>
      <c r="BF256" s="139">
        <v>6775.893599334996</v>
      </c>
      <c r="BG256" s="184">
        <v>10052</v>
      </c>
      <c r="BH256" s="216">
        <v>4269</v>
      </c>
      <c r="BI256" s="216">
        <v>38459</v>
      </c>
      <c r="BJ256" s="216">
        <v>-34162</v>
      </c>
      <c r="BK256" s="216">
        <v>21771</v>
      </c>
      <c r="BL256" s="216">
        <v>11795</v>
      </c>
      <c r="BM256" s="151"/>
      <c r="BO256" s="216">
        <v>-41</v>
      </c>
      <c r="BP256" s="216">
        <v>31</v>
      </c>
      <c r="BQ256" s="216">
        <v>-606</v>
      </c>
      <c r="BR256" s="216">
        <v>2133</v>
      </c>
      <c r="BS256" s="216">
        <v>0</v>
      </c>
      <c r="BT256" s="216">
        <v>0</v>
      </c>
      <c r="BU256" s="216">
        <v>-2739</v>
      </c>
      <c r="BV256" s="184">
        <v>627</v>
      </c>
      <c r="BW256" s="184">
        <v>0</v>
      </c>
      <c r="BX256" s="183">
        <v>0</v>
      </c>
      <c r="BY256" s="183">
        <v>-2112</v>
      </c>
      <c r="BZ256" s="183">
        <v>5292</v>
      </c>
      <c r="CA256" s="183">
        <v>-114</v>
      </c>
      <c r="CB256" s="167"/>
      <c r="CC256" s="183">
        <v>-133</v>
      </c>
      <c r="CD256" s="183">
        <v>-627</v>
      </c>
      <c r="CE256" s="180">
        <v>-1608</v>
      </c>
      <c r="CF256" s="139">
        <v>21771</v>
      </c>
      <c r="CG256" s="216">
        <v>18880</v>
      </c>
      <c r="CH256" s="216">
        <v>1282</v>
      </c>
      <c r="CI256" s="216">
        <v>1609</v>
      </c>
      <c r="CJ256" s="212">
        <v>20.25</v>
      </c>
      <c r="CK256" s="144"/>
      <c r="CL256" s="130">
        <v>260</v>
      </c>
      <c r="CM256" s="228">
        <v>6016</v>
      </c>
      <c r="CN256" s="138"/>
      <c r="CO256" s="142">
        <v>3.6366666666666667</v>
      </c>
      <c r="CP256" s="142">
        <v>30.155766301410249</v>
      </c>
      <c r="CQ256" s="183">
        <v>-1543.2180851063829</v>
      </c>
      <c r="CR256" s="144"/>
      <c r="CS256"/>
      <c r="CU256" s="232">
        <v>66.430587631511415</v>
      </c>
      <c r="CV256" s="143">
        <v>282.57978723404256</v>
      </c>
      <c r="CW256" s="146">
        <v>15.781977261744284</v>
      </c>
      <c r="CX256" s="143">
        <v>6535.4055851063831</v>
      </c>
      <c r="CY256" s="131">
        <v>9743</v>
      </c>
      <c r="CZ256" s="229">
        <v>4135</v>
      </c>
      <c r="DA256" s="229">
        <v>37460</v>
      </c>
      <c r="DB256" s="216">
        <v>-33325</v>
      </c>
      <c r="DC256" s="229">
        <v>22795</v>
      </c>
      <c r="DD256" s="229">
        <v>13772</v>
      </c>
      <c r="DE256" s="151"/>
      <c r="DG256" s="229">
        <v>-38</v>
      </c>
      <c r="DH256" s="229">
        <v>26</v>
      </c>
      <c r="DI256" s="229">
        <v>3230</v>
      </c>
      <c r="DJ256" s="229">
        <v>2063</v>
      </c>
      <c r="DK256" s="229">
        <v>0</v>
      </c>
      <c r="DL256" s="229">
        <v>0</v>
      </c>
      <c r="DM256" s="229">
        <v>1167</v>
      </c>
      <c r="DN256" s="131">
        <v>92</v>
      </c>
      <c r="DO256" s="131">
        <v>0</v>
      </c>
      <c r="DP256" s="130">
        <v>0</v>
      </c>
      <c r="DQ256" s="130">
        <v>1259</v>
      </c>
      <c r="DR256" s="130">
        <v>6550</v>
      </c>
      <c r="DS256" s="130">
        <v>3234</v>
      </c>
      <c r="DT256" s="167"/>
      <c r="DU256" s="183">
        <v>30</v>
      </c>
      <c r="DV256" s="183">
        <v>-857</v>
      </c>
      <c r="DW256" s="180">
        <v>2314</v>
      </c>
      <c r="DX256" s="130">
        <v>22795</v>
      </c>
      <c r="DY256" s="229">
        <v>19944</v>
      </c>
      <c r="DZ256" s="229">
        <v>1444</v>
      </c>
      <c r="EA256" s="229">
        <v>1407</v>
      </c>
      <c r="EB256" s="212">
        <v>20.75</v>
      </c>
      <c r="EC256" s="208"/>
      <c r="ED256" s="183">
        <v>212.17647058823499</v>
      </c>
      <c r="EE256" s="3">
        <v>23565</v>
      </c>
      <c r="EF256" s="183">
        <v>25151</v>
      </c>
      <c r="EG256" s="130">
        <v>24957</v>
      </c>
      <c r="EH256" s="130"/>
      <c r="EI256" s="130"/>
      <c r="EJ256" s="130"/>
      <c r="EK256" s="183">
        <v>-1953</v>
      </c>
      <c r="EL256" s="183">
        <v>110</v>
      </c>
      <c r="EM256" s="183">
        <v>87</v>
      </c>
      <c r="EN256" s="226">
        <v>-1656</v>
      </c>
      <c r="EO256" s="226">
        <v>11</v>
      </c>
      <c r="EP256" s="226">
        <v>151</v>
      </c>
      <c r="EQ256" s="226">
        <v>-957</v>
      </c>
      <c r="ER256" s="230">
        <v>10</v>
      </c>
      <c r="ES256" s="230">
        <v>27</v>
      </c>
      <c r="ET256" s="3">
        <v>0</v>
      </c>
      <c r="EU256" s="211">
        <v>700</v>
      </c>
      <c r="EV256" s="183">
        <v>3000</v>
      </c>
      <c r="EW256" s="183">
        <v>-200</v>
      </c>
      <c r="EX256" s="130">
        <v>0</v>
      </c>
      <c r="EY256" s="183">
        <v>0</v>
      </c>
      <c r="EZ256" s="3">
        <v>8083</v>
      </c>
      <c r="FA256" s="3">
        <v>3256</v>
      </c>
      <c r="FB256" s="3">
        <v>4827</v>
      </c>
      <c r="FC256" s="3">
        <v>97</v>
      </c>
      <c r="FD256" s="226">
        <v>10256</v>
      </c>
      <c r="FE256" s="183">
        <v>5399</v>
      </c>
      <c r="FF256" s="183">
        <v>4857</v>
      </c>
      <c r="FG256" s="183">
        <v>97</v>
      </c>
      <c r="FH256" s="230">
        <v>9399</v>
      </c>
      <c r="FI256" s="130">
        <v>4542</v>
      </c>
      <c r="FJ256" s="130">
        <v>4857</v>
      </c>
      <c r="FK256" s="130">
        <v>97</v>
      </c>
      <c r="FL256" s="29">
        <v>2338.4311790823881</v>
      </c>
      <c r="FM256" s="139">
        <v>2668.8279301745633</v>
      </c>
      <c r="FN256" s="139">
        <v>2467.2539893617022</v>
      </c>
      <c r="FO256" s="172">
        <f t="shared" si="9"/>
        <v>961.15662650602405</v>
      </c>
      <c r="FP256" s="170">
        <f t="shared" si="10"/>
        <v>159.76672648038965</v>
      </c>
      <c r="FR256" s="175"/>
      <c r="FS256" s="195"/>
      <c r="FV256" s="175">
        <v>840</v>
      </c>
      <c r="FW256" s="2">
        <f t="shared" si="11"/>
        <v>-840</v>
      </c>
      <c r="FZ256" s="186"/>
      <c r="GA256" s="2"/>
      <c r="GB256" s="2"/>
    </row>
    <row r="257" spans="1:184" ht="13" x14ac:dyDescent="0.3">
      <c r="A257" s="77">
        <v>837</v>
      </c>
      <c r="B257" s="75" t="s">
        <v>247</v>
      </c>
      <c r="C257" s="179">
        <v>235239</v>
      </c>
      <c r="D257" s="138"/>
      <c r="E257" s="142">
        <v>3.2545087996512834</v>
      </c>
      <c r="F257" s="142">
        <v>59.734461171875616</v>
      </c>
      <c r="G257" s="183">
        <v>-3036.1504682471868</v>
      </c>
      <c r="H257" s="144"/>
      <c r="I257" s="186"/>
      <c r="K257" s="210">
        <v>53.244907626717193</v>
      </c>
      <c r="L257" s="143">
        <v>726.33364365602642</v>
      </c>
      <c r="M257" s="146">
        <v>33.723097471225834</v>
      </c>
      <c r="N257" s="143">
        <v>7861.4302900454431</v>
      </c>
      <c r="O257" s="138">
        <v>630875</v>
      </c>
      <c r="P257" s="143">
        <v>476864</v>
      </c>
      <c r="Q257" s="184">
        <v>1656728</v>
      </c>
      <c r="R257" s="184">
        <v>-1179864</v>
      </c>
      <c r="S257" s="139">
        <v>914515</v>
      </c>
      <c r="T257" s="138">
        <v>291062</v>
      </c>
      <c r="U257" s="151"/>
      <c r="W257" s="183">
        <v>-5961</v>
      </c>
      <c r="X257" s="183">
        <v>28245</v>
      </c>
      <c r="Y257" s="184">
        <v>47997</v>
      </c>
      <c r="Z257" s="130">
        <v>108318</v>
      </c>
      <c r="AA257" s="130">
        <v>2370</v>
      </c>
      <c r="AB257" s="130">
        <v>850</v>
      </c>
      <c r="AC257" s="184">
        <v>-58801</v>
      </c>
      <c r="AD257" s="184">
        <v>1813</v>
      </c>
      <c r="AE257" s="184">
        <v>0</v>
      </c>
      <c r="AF257" s="183">
        <v>2312</v>
      </c>
      <c r="AG257" s="183">
        <v>-54676</v>
      </c>
      <c r="AH257" s="183">
        <v>462976</v>
      </c>
      <c r="AI257" s="183">
        <v>25924</v>
      </c>
      <c r="AJ257" s="167"/>
      <c r="AK257" s="183">
        <v>-8433</v>
      </c>
      <c r="AL257" s="183">
        <v>-6620</v>
      </c>
      <c r="AM257" s="180">
        <v>-141578</v>
      </c>
      <c r="AN257" s="139">
        <v>914515</v>
      </c>
      <c r="AO257" s="138">
        <v>767389</v>
      </c>
      <c r="AP257" s="184">
        <v>71098</v>
      </c>
      <c r="AQ257" s="138">
        <v>76028</v>
      </c>
      <c r="AR257" s="109">
        <v>19.75</v>
      </c>
      <c r="AS257" s="144"/>
      <c r="AT257" s="139">
        <v>165</v>
      </c>
      <c r="AU257" s="228">
        <v>238140</v>
      </c>
      <c r="AV257" s="138"/>
      <c r="AW257" s="224">
        <v>0.83997304637249093</v>
      </c>
      <c r="AX257" s="225">
        <v>61.74222103004292</v>
      </c>
      <c r="AY257" s="139">
        <v>-3253.5021415973797</v>
      </c>
      <c r="AZ257" s="144"/>
      <c r="BA257"/>
      <c r="BC257" s="189">
        <v>50.769622094003054</v>
      </c>
      <c r="BD257" s="183">
        <v>801.10019316368516</v>
      </c>
      <c r="BE257" s="140">
        <v>36.706531239226443</v>
      </c>
      <c r="BF257" s="139">
        <v>7965.9276056101453</v>
      </c>
      <c r="BG257" s="184">
        <v>626142</v>
      </c>
      <c r="BH257" s="216">
        <v>468150</v>
      </c>
      <c r="BI257" s="216">
        <v>1703852</v>
      </c>
      <c r="BJ257" s="216">
        <v>-1211877</v>
      </c>
      <c r="BK257" s="216">
        <v>974574</v>
      </c>
      <c r="BL257" s="216">
        <v>301980</v>
      </c>
      <c r="BM257" s="151"/>
      <c r="BO257" s="216">
        <v>-6902</v>
      </c>
      <c r="BP257" s="216">
        <v>32575</v>
      </c>
      <c r="BQ257" s="216">
        <v>90350</v>
      </c>
      <c r="BR257" s="216">
        <v>111513</v>
      </c>
      <c r="BS257" s="216">
        <v>1028</v>
      </c>
      <c r="BT257" s="216">
        <v>0</v>
      </c>
      <c r="BU257" s="216">
        <v>-20135</v>
      </c>
      <c r="BV257" s="184">
        <v>1905</v>
      </c>
      <c r="BW257" s="184">
        <v>0</v>
      </c>
      <c r="BX257" s="183">
        <v>225</v>
      </c>
      <c r="BY257" s="183">
        <v>-18005</v>
      </c>
      <c r="BZ257" s="183">
        <v>451494</v>
      </c>
      <c r="CA257" s="183">
        <v>63252</v>
      </c>
      <c r="CB257" s="167"/>
      <c r="CC257" s="183">
        <v>-7518</v>
      </c>
      <c r="CD257" s="183">
        <v>-43447</v>
      </c>
      <c r="CE257" s="180">
        <v>-57106</v>
      </c>
      <c r="CF257" s="139">
        <v>974574</v>
      </c>
      <c r="CG257" s="216">
        <v>808932</v>
      </c>
      <c r="CH257" s="216">
        <v>77280</v>
      </c>
      <c r="CI257" s="216">
        <v>88362</v>
      </c>
      <c r="CJ257" s="212">
        <v>19.75</v>
      </c>
      <c r="CK257" s="144"/>
      <c r="CL257" s="130">
        <v>63</v>
      </c>
      <c r="CM257" s="228">
        <v>241009</v>
      </c>
      <c r="CN257" s="138"/>
      <c r="CO257" s="142">
        <v>5.861289094715473</v>
      </c>
      <c r="CP257" s="142">
        <v>65.218505294190507</v>
      </c>
      <c r="CQ257" s="183">
        <v>-3393.4749324714016</v>
      </c>
      <c r="CR257" s="144"/>
      <c r="CS257"/>
      <c r="CU257" s="232">
        <v>48.890201486995245</v>
      </c>
      <c r="CV257" s="143">
        <v>1298.5324199511222</v>
      </c>
      <c r="CW257" s="146">
        <v>56.635781244344713</v>
      </c>
      <c r="CX257" s="143">
        <v>8368.6376857295782</v>
      </c>
      <c r="CY257" s="131">
        <v>629044</v>
      </c>
      <c r="CZ257" s="229">
        <v>457362</v>
      </c>
      <c r="DA257" s="229">
        <v>1743272</v>
      </c>
      <c r="DB257" s="216">
        <v>-1285910</v>
      </c>
      <c r="DC257" s="229">
        <v>1035322</v>
      </c>
      <c r="DD257" s="229">
        <v>394568</v>
      </c>
      <c r="DE257" s="151"/>
      <c r="DG257" s="229">
        <v>-9103</v>
      </c>
      <c r="DH257" s="229">
        <v>34565</v>
      </c>
      <c r="DI257" s="229">
        <v>169442</v>
      </c>
      <c r="DJ257" s="229">
        <v>105867</v>
      </c>
      <c r="DK257" s="229">
        <v>264</v>
      </c>
      <c r="DL257" s="229">
        <v>0</v>
      </c>
      <c r="DM257" s="229">
        <v>63839</v>
      </c>
      <c r="DN257" s="131">
        <v>1711</v>
      </c>
      <c r="DO257" s="131">
        <v>0</v>
      </c>
      <c r="DP257" s="130">
        <v>260</v>
      </c>
      <c r="DQ257" s="130">
        <v>65810</v>
      </c>
      <c r="DR257" s="130">
        <v>517303</v>
      </c>
      <c r="DS257" s="130">
        <v>152335</v>
      </c>
      <c r="DT257" s="167"/>
      <c r="DU257" s="183">
        <v>15571</v>
      </c>
      <c r="DV257" s="183">
        <v>-16185</v>
      </c>
      <c r="DW257" s="180">
        <v>-24892</v>
      </c>
      <c r="DX257" s="130">
        <v>1035322</v>
      </c>
      <c r="DY257" s="229">
        <v>866872</v>
      </c>
      <c r="DZ257" s="229">
        <v>85333</v>
      </c>
      <c r="EA257" s="229">
        <v>83117</v>
      </c>
      <c r="EB257" s="212">
        <v>20.25</v>
      </c>
      <c r="EC257" s="208"/>
      <c r="ED257" s="183">
        <v>132.595588235294</v>
      </c>
      <c r="EE257" s="3">
        <v>770589</v>
      </c>
      <c r="EF257" s="183">
        <v>827631</v>
      </c>
      <c r="EG257" s="130">
        <v>853926</v>
      </c>
      <c r="EH257" s="130"/>
      <c r="EI257" s="130"/>
      <c r="EJ257" s="130"/>
      <c r="EK257" s="183">
        <v>-199531</v>
      </c>
      <c r="EL257" s="183">
        <v>1987</v>
      </c>
      <c r="EM257" s="183">
        <v>30042</v>
      </c>
      <c r="EN257" s="226">
        <v>-155003</v>
      </c>
      <c r="EO257" s="226">
        <v>1115</v>
      </c>
      <c r="EP257" s="226">
        <v>33530</v>
      </c>
      <c r="EQ257" s="226">
        <v>-229872</v>
      </c>
      <c r="ER257" s="230">
        <v>7264</v>
      </c>
      <c r="ES257" s="230">
        <v>45381</v>
      </c>
      <c r="ET257" s="3">
        <v>179757</v>
      </c>
      <c r="EU257" s="211">
        <v>-30329</v>
      </c>
      <c r="EV257" s="183">
        <v>133000</v>
      </c>
      <c r="EW257" s="183">
        <v>34736</v>
      </c>
      <c r="EX257" s="130">
        <v>120000</v>
      </c>
      <c r="EY257" s="183">
        <v>16083</v>
      </c>
      <c r="EZ257" s="3">
        <v>670543</v>
      </c>
      <c r="FA257" s="3">
        <v>456844</v>
      </c>
      <c r="FB257" s="3">
        <v>213699</v>
      </c>
      <c r="FC257" s="3">
        <v>92100</v>
      </c>
      <c r="FD257" s="226">
        <v>794832</v>
      </c>
      <c r="FE257" s="183">
        <v>573659</v>
      </c>
      <c r="FF257" s="183">
        <v>221173</v>
      </c>
      <c r="FG257" s="183">
        <v>94478</v>
      </c>
      <c r="FH257" s="230">
        <v>914729</v>
      </c>
      <c r="FI257" s="130">
        <v>672370</v>
      </c>
      <c r="FJ257" s="130">
        <v>242359</v>
      </c>
      <c r="FK257" s="130">
        <v>109175</v>
      </c>
      <c r="FL257" s="29">
        <v>7306.5690638031965</v>
      </c>
      <c r="FM257" s="139">
        <v>8037.0286386159396</v>
      </c>
      <c r="FN257" s="139">
        <v>8936.3675215448384</v>
      </c>
      <c r="FO257" s="172">
        <f t="shared" si="9"/>
        <v>42808.493827160491</v>
      </c>
      <c r="FP257" s="170">
        <f t="shared" si="10"/>
        <v>177.62197190627941</v>
      </c>
      <c r="FR257" s="175"/>
      <c r="FS257" s="195"/>
      <c r="FV257" s="175">
        <v>11989</v>
      </c>
      <c r="FW257" s="2">
        <f t="shared" si="11"/>
        <v>-11989</v>
      </c>
      <c r="FZ257" s="186"/>
      <c r="GA257" s="2"/>
      <c r="GB257" s="2"/>
    </row>
    <row r="258" spans="1:184" ht="13" x14ac:dyDescent="0.3">
      <c r="A258" s="77">
        <v>844</v>
      </c>
      <c r="B258" s="75" t="s">
        <v>248</v>
      </c>
      <c r="C258" s="179">
        <v>1567</v>
      </c>
      <c r="D258" s="138"/>
      <c r="E258" s="142">
        <v>0.18411552346570398</v>
      </c>
      <c r="F258" s="142">
        <v>50.361035422343328</v>
      </c>
      <c r="G258" s="183">
        <v>-1395.6604977664326</v>
      </c>
      <c r="H258" s="144"/>
      <c r="I258" s="186"/>
      <c r="K258" s="210">
        <v>57.408985062759129</v>
      </c>
      <c r="L258" s="143">
        <v>2253.9885130823232</v>
      </c>
      <c r="M258" s="146">
        <v>79.422129127649086</v>
      </c>
      <c r="N258" s="143">
        <v>10358.647096362476</v>
      </c>
      <c r="O258" s="138">
        <v>5594</v>
      </c>
      <c r="P258" s="143">
        <v>3869</v>
      </c>
      <c r="Q258" s="184">
        <v>14858</v>
      </c>
      <c r="R258" s="184">
        <v>-10989</v>
      </c>
      <c r="S258" s="139">
        <v>4283</v>
      </c>
      <c r="T258" s="138">
        <v>6528</v>
      </c>
      <c r="U258" s="151"/>
      <c r="W258" s="183">
        <v>-34</v>
      </c>
      <c r="X258" s="183">
        <v>226</v>
      </c>
      <c r="Y258" s="184">
        <v>14</v>
      </c>
      <c r="Z258" s="130">
        <v>285</v>
      </c>
      <c r="AA258" s="131">
        <v>0</v>
      </c>
      <c r="AB258" s="130">
        <v>0</v>
      </c>
      <c r="AC258" s="184">
        <v>-271</v>
      </c>
      <c r="AD258" s="184">
        <v>47</v>
      </c>
      <c r="AE258" s="184">
        <v>0</v>
      </c>
      <c r="AF258" s="184">
        <v>107</v>
      </c>
      <c r="AG258" s="183">
        <v>-117</v>
      </c>
      <c r="AH258" s="183">
        <v>1329</v>
      </c>
      <c r="AI258" s="183">
        <v>-161</v>
      </c>
      <c r="AJ258" s="167"/>
      <c r="AK258" s="183">
        <v>-77</v>
      </c>
      <c r="AL258" s="183">
        <v>-240</v>
      </c>
      <c r="AM258" s="180">
        <v>-105</v>
      </c>
      <c r="AN258" s="139">
        <v>4283</v>
      </c>
      <c r="AO258" s="138">
        <v>3441</v>
      </c>
      <c r="AP258" s="184">
        <v>431</v>
      </c>
      <c r="AQ258" s="138">
        <v>411</v>
      </c>
      <c r="AR258" s="109">
        <v>20.75</v>
      </c>
      <c r="AS258" s="144"/>
      <c r="AT258" s="139">
        <v>249</v>
      </c>
      <c r="AU258" s="228">
        <v>1520</v>
      </c>
      <c r="AV258" s="138"/>
      <c r="AW258" s="224">
        <v>-0.59036898061288301</v>
      </c>
      <c r="AX258" s="225">
        <v>48.536381377195426</v>
      </c>
      <c r="AY258" s="139">
        <v>-1598.0263157894738</v>
      </c>
      <c r="AZ258" s="144"/>
      <c r="BA258"/>
      <c r="BC258" s="189">
        <v>56.685076166777932</v>
      </c>
      <c r="BD258" s="183">
        <v>1999.3421052631579</v>
      </c>
      <c r="BE258" s="140">
        <v>62.814145761368138</v>
      </c>
      <c r="BF258" s="139">
        <v>11617.763157894737</v>
      </c>
      <c r="BG258" s="184">
        <v>5249</v>
      </c>
      <c r="BH258" s="216">
        <v>3326</v>
      </c>
      <c r="BI258" s="216">
        <v>15110</v>
      </c>
      <c r="BJ258" s="216">
        <v>-11784</v>
      </c>
      <c r="BK258" s="216">
        <v>4404</v>
      </c>
      <c r="BL258" s="216">
        <v>6618</v>
      </c>
      <c r="BM258" s="151"/>
      <c r="BO258" s="216">
        <v>-28</v>
      </c>
      <c r="BP258" s="216">
        <v>282</v>
      </c>
      <c r="BQ258" s="216">
        <v>-508</v>
      </c>
      <c r="BR258" s="216">
        <v>261</v>
      </c>
      <c r="BS258" s="216">
        <v>0</v>
      </c>
      <c r="BT258" s="216">
        <v>0</v>
      </c>
      <c r="BU258" s="216">
        <v>-769</v>
      </c>
      <c r="BV258" s="184">
        <v>8</v>
      </c>
      <c r="BW258" s="184">
        <v>0</v>
      </c>
      <c r="BX258" s="184">
        <v>55</v>
      </c>
      <c r="BY258" s="183">
        <v>-706</v>
      </c>
      <c r="BZ258" s="183">
        <v>623</v>
      </c>
      <c r="CA258" s="183">
        <v>-500</v>
      </c>
      <c r="CB258" s="167"/>
      <c r="CC258" s="183">
        <v>155</v>
      </c>
      <c r="CD258" s="183">
        <v>-1510</v>
      </c>
      <c r="CE258" s="180">
        <v>-263</v>
      </c>
      <c r="CF258" s="139">
        <v>4404</v>
      </c>
      <c r="CG258" s="216">
        <v>3499</v>
      </c>
      <c r="CH258" s="216">
        <v>471</v>
      </c>
      <c r="CI258" s="216">
        <v>434</v>
      </c>
      <c r="CJ258" s="212">
        <v>20.75</v>
      </c>
      <c r="CK258" s="144"/>
      <c r="CL258" s="130">
        <v>280</v>
      </c>
      <c r="CM258" s="228">
        <v>1503</v>
      </c>
      <c r="CN258" s="138"/>
      <c r="CO258" s="142">
        <v>0.63466042154566749</v>
      </c>
      <c r="CP258" s="142">
        <v>49.595276008492569</v>
      </c>
      <c r="CQ258" s="183">
        <v>-1884.896872920825</v>
      </c>
      <c r="CR258" s="144"/>
      <c r="CS258"/>
      <c r="CU258" s="232">
        <v>54.729011689691816</v>
      </c>
      <c r="CV258" s="143">
        <v>2190.2860944777112</v>
      </c>
      <c r="CW258" s="146">
        <v>74.011703110563602</v>
      </c>
      <c r="CX258" s="143">
        <v>10801.72987358616</v>
      </c>
      <c r="CY258" s="131">
        <v>4148</v>
      </c>
      <c r="CZ258" s="229">
        <v>2877</v>
      </c>
      <c r="DA258" s="229">
        <v>15028</v>
      </c>
      <c r="DB258" s="216">
        <v>-12151</v>
      </c>
      <c r="DC258" s="229">
        <v>4816</v>
      </c>
      <c r="DD258" s="229">
        <v>7379</v>
      </c>
      <c r="DE258" s="151"/>
      <c r="DG258" s="229">
        <v>-21</v>
      </c>
      <c r="DH258" s="229">
        <v>220</v>
      </c>
      <c r="DI258" s="229">
        <v>243</v>
      </c>
      <c r="DJ258" s="229">
        <v>312</v>
      </c>
      <c r="DK258" s="229">
        <v>0</v>
      </c>
      <c r="DL258" s="229">
        <v>0</v>
      </c>
      <c r="DM258" s="229">
        <v>-69</v>
      </c>
      <c r="DN258" s="131">
        <v>8</v>
      </c>
      <c r="DO258" s="131">
        <v>0</v>
      </c>
      <c r="DP258" s="131">
        <v>0</v>
      </c>
      <c r="DQ258" s="130">
        <v>-61</v>
      </c>
      <c r="DR258" s="130">
        <v>562</v>
      </c>
      <c r="DS258" s="130">
        <v>274</v>
      </c>
      <c r="DT258" s="167"/>
      <c r="DU258" s="183">
        <v>96</v>
      </c>
      <c r="DV258" s="183">
        <v>-399</v>
      </c>
      <c r="DW258" s="180">
        <v>-363</v>
      </c>
      <c r="DX258" s="130">
        <v>4816</v>
      </c>
      <c r="DY258" s="229">
        <v>3794</v>
      </c>
      <c r="DZ258" s="229">
        <v>545</v>
      </c>
      <c r="EA258" s="229">
        <v>477</v>
      </c>
      <c r="EB258" s="212">
        <v>21.5</v>
      </c>
      <c r="EC258" s="208"/>
      <c r="ED258" s="183">
        <v>284.70588235294099</v>
      </c>
      <c r="EE258" s="3">
        <v>7790</v>
      </c>
      <c r="EF258" s="183">
        <v>8345</v>
      </c>
      <c r="EG258" s="130">
        <v>9631</v>
      </c>
      <c r="EH258" s="130"/>
      <c r="EI258" s="130"/>
      <c r="EJ258" s="130"/>
      <c r="EK258" s="183">
        <v>-743</v>
      </c>
      <c r="EL258" s="183">
        <v>269</v>
      </c>
      <c r="EM258" s="183">
        <v>530</v>
      </c>
      <c r="EN258" s="226">
        <v>-995</v>
      </c>
      <c r="EO258" s="226">
        <v>43</v>
      </c>
      <c r="EP258" s="226">
        <v>1189</v>
      </c>
      <c r="EQ258" s="226">
        <v>-767</v>
      </c>
      <c r="ER258" s="230">
        <v>95</v>
      </c>
      <c r="ES258" s="230">
        <v>35</v>
      </c>
      <c r="ET258" s="3">
        <v>550</v>
      </c>
      <c r="EU258" s="211">
        <v>-174</v>
      </c>
      <c r="EV258" s="183">
        <v>950</v>
      </c>
      <c r="EW258" s="183">
        <v>517</v>
      </c>
      <c r="EX258" s="130">
        <v>350</v>
      </c>
      <c r="EY258" s="183">
        <v>333</v>
      </c>
      <c r="EZ258" s="3">
        <v>5587</v>
      </c>
      <c r="FA258" s="3">
        <v>3742</v>
      </c>
      <c r="FB258" s="3">
        <v>1845</v>
      </c>
      <c r="FC258" s="3">
        <v>189</v>
      </c>
      <c r="FD258" s="226">
        <v>5543</v>
      </c>
      <c r="FE258" s="183">
        <v>3095</v>
      </c>
      <c r="FF258" s="183">
        <v>2448</v>
      </c>
      <c r="FG258" s="183">
        <v>189</v>
      </c>
      <c r="FH258" s="230">
        <v>5829</v>
      </c>
      <c r="FI258" s="130">
        <v>3012</v>
      </c>
      <c r="FJ258" s="130">
        <v>2817</v>
      </c>
      <c r="FK258" s="130">
        <v>189</v>
      </c>
      <c r="FL258" s="29">
        <v>8215.6987874920233</v>
      </c>
      <c r="FM258" s="139">
        <v>8407.2368421052633</v>
      </c>
      <c r="FN258" s="139">
        <v>9377.245508982036</v>
      </c>
      <c r="FO258" s="172">
        <f t="shared" si="9"/>
        <v>176.46511627906978</v>
      </c>
      <c r="FP258" s="170">
        <f t="shared" si="10"/>
        <v>117.40859366538243</v>
      </c>
      <c r="FR258" s="175"/>
      <c r="FS258" s="195"/>
      <c r="FV258" s="175">
        <v>222</v>
      </c>
      <c r="FW258" s="2">
        <f t="shared" si="11"/>
        <v>-222</v>
      </c>
      <c r="FZ258" s="186"/>
      <c r="GA258" s="2"/>
      <c r="GB258" s="2"/>
    </row>
    <row r="259" spans="1:184" ht="13" x14ac:dyDescent="0.3">
      <c r="A259" s="77">
        <v>845</v>
      </c>
      <c r="B259" s="75" t="s">
        <v>249</v>
      </c>
      <c r="C259" s="179">
        <v>3062</v>
      </c>
      <c r="D259" s="138"/>
      <c r="E259" s="142">
        <v>9.4358974358974361</v>
      </c>
      <c r="F259" s="142">
        <v>27.516561059907833</v>
      </c>
      <c r="G259" s="183">
        <v>911.82233834095359</v>
      </c>
      <c r="H259" s="144"/>
      <c r="I259" s="186"/>
      <c r="K259" s="210">
        <v>76.586368977673331</v>
      </c>
      <c r="L259" s="143">
        <v>2740.6923579359895</v>
      </c>
      <c r="M259" s="146">
        <v>107.06700688594498</v>
      </c>
      <c r="N259" s="143">
        <v>9343.2397126061405</v>
      </c>
      <c r="O259" s="138">
        <v>13966</v>
      </c>
      <c r="P259" s="143">
        <v>6195</v>
      </c>
      <c r="Q259" s="184">
        <v>26755</v>
      </c>
      <c r="R259" s="184">
        <v>-20560</v>
      </c>
      <c r="S259" s="139">
        <v>11273</v>
      </c>
      <c r="T259" s="138">
        <v>10308</v>
      </c>
      <c r="U259" s="151"/>
      <c r="W259" s="183">
        <v>85</v>
      </c>
      <c r="X259" s="183">
        <v>353</v>
      </c>
      <c r="Y259" s="184">
        <v>1459</v>
      </c>
      <c r="Z259" s="130">
        <v>1199</v>
      </c>
      <c r="AA259" s="131">
        <v>0</v>
      </c>
      <c r="AB259" s="130">
        <v>0</v>
      </c>
      <c r="AC259" s="184">
        <v>260</v>
      </c>
      <c r="AD259" s="184">
        <v>151</v>
      </c>
      <c r="AE259" s="184">
        <v>0</v>
      </c>
      <c r="AF259" s="183">
        <v>0</v>
      </c>
      <c r="AG259" s="183">
        <v>411</v>
      </c>
      <c r="AH259" s="183">
        <v>13688</v>
      </c>
      <c r="AI259" s="183">
        <v>1581</v>
      </c>
      <c r="AJ259" s="167"/>
      <c r="AK259" s="183">
        <v>61</v>
      </c>
      <c r="AL259" s="183">
        <v>-143</v>
      </c>
      <c r="AM259" s="180">
        <v>495</v>
      </c>
      <c r="AN259" s="139">
        <v>11273</v>
      </c>
      <c r="AO259" s="138">
        <v>7988</v>
      </c>
      <c r="AP259" s="184">
        <v>482</v>
      </c>
      <c r="AQ259" s="138">
        <v>2803</v>
      </c>
      <c r="AR259" s="109">
        <v>19.5</v>
      </c>
      <c r="AS259" s="144"/>
      <c r="AT259" s="139">
        <v>52</v>
      </c>
      <c r="AU259" s="228">
        <v>3001</v>
      </c>
      <c r="AV259" s="138"/>
      <c r="AW259" s="224">
        <v>0.61874147671926749</v>
      </c>
      <c r="AX259" s="225">
        <v>31.629662343919382</v>
      </c>
      <c r="AY259" s="139">
        <v>581.13962012662444</v>
      </c>
      <c r="AZ259" s="144"/>
      <c r="BA259"/>
      <c r="BC259" s="189">
        <v>75.431008590136358</v>
      </c>
      <c r="BD259" s="183">
        <v>2457.1809396867711</v>
      </c>
      <c r="BE259" s="140">
        <v>98.781884244136975</v>
      </c>
      <c r="BF259" s="139">
        <v>9079.3068977007661</v>
      </c>
      <c r="BG259" s="184">
        <v>11302</v>
      </c>
      <c r="BH259" s="216">
        <v>3619</v>
      </c>
      <c r="BI259" s="216">
        <v>24860</v>
      </c>
      <c r="BJ259" s="216">
        <v>-21241</v>
      </c>
      <c r="BK259" s="216">
        <v>11229</v>
      </c>
      <c r="BL259" s="216">
        <v>10059</v>
      </c>
      <c r="BM259" s="151"/>
      <c r="BO259" s="216">
        <v>-14</v>
      </c>
      <c r="BP259" s="216">
        <v>336</v>
      </c>
      <c r="BQ259" s="216">
        <v>369</v>
      </c>
      <c r="BR259" s="216">
        <v>1325</v>
      </c>
      <c r="BS259" s="216">
        <v>0</v>
      </c>
      <c r="BT259" s="216">
        <v>0</v>
      </c>
      <c r="BU259" s="216">
        <v>-956</v>
      </c>
      <c r="BV259" s="184">
        <v>-715</v>
      </c>
      <c r="BW259" s="184">
        <v>2000</v>
      </c>
      <c r="BX259" s="183">
        <v>0</v>
      </c>
      <c r="BY259" s="183">
        <v>329</v>
      </c>
      <c r="BZ259" s="183">
        <v>14017</v>
      </c>
      <c r="CA259" s="183">
        <v>357</v>
      </c>
      <c r="CB259" s="167"/>
      <c r="CC259" s="183">
        <v>-203</v>
      </c>
      <c r="CD259" s="183">
        <v>-143</v>
      </c>
      <c r="CE259" s="180">
        <v>-720</v>
      </c>
      <c r="CF259" s="139">
        <v>11229</v>
      </c>
      <c r="CG259" s="216">
        <v>7948</v>
      </c>
      <c r="CH259" s="216">
        <v>486</v>
      </c>
      <c r="CI259" s="216">
        <v>2795</v>
      </c>
      <c r="CJ259" s="212">
        <v>19.5</v>
      </c>
      <c r="CK259" s="144"/>
      <c r="CL259" s="130">
        <v>173</v>
      </c>
      <c r="CM259" s="228">
        <v>2925</v>
      </c>
      <c r="CN259" s="138"/>
      <c r="CO259" s="142">
        <v>20.454545454545453</v>
      </c>
      <c r="CP259" s="142">
        <v>27.460395478089907</v>
      </c>
      <c r="CQ259" s="183">
        <v>684.10256410256409</v>
      </c>
      <c r="CR259" s="144"/>
      <c r="CS259"/>
      <c r="CU259" s="232">
        <v>77.192561487702463</v>
      </c>
      <c r="CV259" s="143">
        <v>2677.264957264957</v>
      </c>
      <c r="CW259" s="146">
        <v>107.50799262797608</v>
      </c>
      <c r="CX259" s="143">
        <v>9089.5726495726503</v>
      </c>
      <c r="CY259" s="131">
        <v>11711</v>
      </c>
      <c r="CZ259" s="229">
        <v>3174</v>
      </c>
      <c r="DA259" s="229">
        <v>24844</v>
      </c>
      <c r="DB259" s="216">
        <v>-21670</v>
      </c>
      <c r="DC259" s="229">
        <v>11536</v>
      </c>
      <c r="DD259" s="229">
        <v>11739</v>
      </c>
      <c r="DE259" s="151"/>
      <c r="DG259" s="229">
        <v>-5</v>
      </c>
      <c r="DH259" s="229">
        <v>173</v>
      </c>
      <c r="DI259" s="229">
        <v>1773</v>
      </c>
      <c r="DJ259" s="229">
        <v>1151</v>
      </c>
      <c r="DK259" s="229">
        <v>0</v>
      </c>
      <c r="DL259" s="229">
        <v>0</v>
      </c>
      <c r="DM259" s="229">
        <v>622</v>
      </c>
      <c r="DN259" s="131">
        <v>-318</v>
      </c>
      <c r="DO259" s="131">
        <v>500</v>
      </c>
      <c r="DP259" s="130">
        <v>0</v>
      </c>
      <c r="DQ259" s="130">
        <v>804</v>
      </c>
      <c r="DR259" s="130">
        <v>14821</v>
      </c>
      <c r="DS259" s="130">
        <v>1773</v>
      </c>
      <c r="DT259" s="167"/>
      <c r="DU259" s="183">
        <v>763</v>
      </c>
      <c r="DV259" s="183">
        <v>-61</v>
      </c>
      <c r="DW259" s="180">
        <v>801</v>
      </c>
      <c r="DX259" s="130">
        <v>11536</v>
      </c>
      <c r="DY259" s="229">
        <v>8476</v>
      </c>
      <c r="DZ259" s="229">
        <v>558</v>
      </c>
      <c r="EA259" s="229">
        <v>2502</v>
      </c>
      <c r="EB259" s="212">
        <v>20</v>
      </c>
      <c r="EC259" s="208"/>
      <c r="ED259" s="183">
        <v>181.95588235294099</v>
      </c>
      <c r="EE259" s="3">
        <v>9739</v>
      </c>
      <c r="EF259" s="183">
        <v>10849</v>
      </c>
      <c r="EG259" s="130">
        <v>10550</v>
      </c>
      <c r="EH259" s="130"/>
      <c r="EI259" s="130"/>
      <c r="EJ259" s="130"/>
      <c r="EK259" s="183">
        <v>-1397</v>
      </c>
      <c r="EL259" s="183">
        <v>61</v>
      </c>
      <c r="EM259" s="183">
        <v>250</v>
      </c>
      <c r="EN259" s="226">
        <v>-1279</v>
      </c>
      <c r="EO259" s="226">
        <v>159</v>
      </c>
      <c r="EP259" s="226">
        <v>43</v>
      </c>
      <c r="EQ259" s="226">
        <v>-972</v>
      </c>
      <c r="ER259" s="230">
        <v>0</v>
      </c>
      <c r="ES259" s="230">
        <v>0</v>
      </c>
      <c r="ET259" s="3">
        <v>0</v>
      </c>
      <c r="EU259" s="211">
        <v>0</v>
      </c>
      <c r="EV259" s="183">
        <v>632</v>
      </c>
      <c r="EW259" s="183">
        <v>0</v>
      </c>
      <c r="EX259" s="130">
        <v>0</v>
      </c>
      <c r="EY259" s="183">
        <v>0</v>
      </c>
      <c r="EZ259" s="3">
        <v>2453</v>
      </c>
      <c r="FA259" s="3">
        <v>2310</v>
      </c>
      <c r="FB259" s="3">
        <v>143</v>
      </c>
      <c r="FC259" s="3">
        <v>6136</v>
      </c>
      <c r="FD259" s="226">
        <v>2943</v>
      </c>
      <c r="FE259" s="183">
        <v>2882</v>
      </c>
      <c r="FF259" s="183">
        <v>61</v>
      </c>
      <c r="FG259" s="183">
        <v>6454</v>
      </c>
      <c r="FH259" s="230">
        <v>2882</v>
      </c>
      <c r="FI259" s="130">
        <v>2852</v>
      </c>
      <c r="FJ259" s="130">
        <v>30</v>
      </c>
      <c r="FK259" s="130">
        <v>6979</v>
      </c>
      <c r="FL259" s="29">
        <v>2136.5120836054866</v>
      </c>
      <c r="FM259" s="139">
        <v>2273.2422525824727</v>
      </c>
      <c r="FN259" s="139">
        <v>2325.1282051282051</v>
      </c>
      <c r="FO259" s="172">
        <f t="shared" ref="FO259:FO297" si="12">(DY259/EB259)</f>
        <v>423.8</v>
      </c>
      <c r="FP259" s="170">
        <f t="shared" ref="FP259:FP297" si="13">(FO259/CM259)*1000</f>
        <v>144.88888888888891</v>
      </c>
      <c r="FR259" s="175"/>
      <c r="FS259" s="195"/>
      <c r="FV259" s="175">
        <v>802</v>
      </c>
      <c r="FW259" s="2">
        <f t="shared" ref="FW259:FW297" si="14">FV259*-1</f>
        <v>-802</v>
      </c>
      <c r="FZ259" s="186"/>
      <c r="GA259" s="2"/>
      <c r="GB259" s="2"/>
    </row>
    <row r="260" spans="1:184" ht="13" x14ac:dyDescent="0.3">
      <c r="A260" s="77">
        <v>846</v>
      </c>
      <c r="B260" s="75" t="s">
        <v>250</v>
      </c>
      <c r="C260" s="179">
        <v>5158</v>
      </c>
      <c r="D260" s="138"/>
      <c r="E260" s="142">
        <v>0.78616969102501222</v>
      </c>
      <c r="F260" s="142">
        <v>72.120747535090274</v>
      </c>
      <c r="G260" s="183">
        <v>-4022.6832105467238</v>
      </c>
      <c r="H260" s="144"/>
      <c r="I260" s="186"/>
      <c r="K260" s="210">
        <v>39.288857595493752</v>
      </c>
      <c r="L260" s="143">
        <v>109.53858084528888</v>
      </c>
      <c r="M260" s="146">
        <v>5.267157050545296</v>
      </c>
      <c r="N260" s="143">
        <v>7590.7328421868942</v>
      </c>
      <c r="O260" s="138">
        <v>9044</v>
      </c>
      <c r="P260" s="143">
        <v>4013</v>
      </c>
      <c r="Q260" s="184">
        <v>36336</v>
      </c>
      <c r="R260" s="184">
        <v>-32323</v>
      </c>
      <c r="S260" s="139">
        <v>15797</v>
      </c>
      <c r="T260" s="138">
        <v>18021</v>
      </c>
      <c r="U260" s="151"/>
      <c r="W260" s="183">
        <v>-166</v>
      </c>
      <c r="X260" s="183">
        <v>71</v>
      </c>
      <c r="Y260" s="184">
        <v>1400</v>
      </c>
      <c r="Z260" s="130">
        <v>1394</v>
      </c>
      <c r="AA260" s="130">
        <v>0</v>
      </c>
      <c r="AB260" s="130">
        <v>0</v>
      </c>
      <c r="AC260" s="184">
        <v>6</v>
      </c>
      <c r="AD260" s="184">
        <v>0</v>
      </c>
      <c r="AE260" s="183">
        <v>0</v>
      </c>
      <c r="AF260" s="183">
        <v>0</v>
      </c>
      <c r="AG260" s="183">
        <v>6</v>
      </c>
      <c r="AH260" s="183">
        <v>-5025</v>
      </c>
      <c r="AI260" s="183">
        <v>1423</v>
      </c>
      <c r="AJ260" s="167"/>
      <c r="AK260" s="183">
        <v>415</v>
      </c>
      <c r="AL260" s="183">
        <v>-1836</v>
      </c>
      <c r="AM260" s="180">
        <v>714</v>
      </c>
      <c r="AN260" s="139">
        <v>15797</v>
      </c>
      <c r="AO260" s="138">
        <v>13849</v>
      </c>
      <c r="AP260" s="184">
        <v>858</v>
      </c>
      <c r="AQ260" s="138">
        <v>1090</v>
      </c>
      <c r="AR260" s="109">
        <v>22.5</v>
      </c>
      <c r="AS260" s="144"/>
      <c r="AT260" s="139">
        <v>125</v>
      </c>
      <c r="AU260" s="228">
        <v>5076</v>
      </c>
      <c r="AV260" s="138"/>
      <c r="AW260" s="224">
        <v>0.71562881082569529</v>
      </c>
      <c r="AX260" s="225">
        <v>64.722882938182565</v>
      </c>
      <c r="AY260" s="139">
        <v>-3622.3404255319151</v>
      </c>
      <c r="AZ260" s="144"/>
      <c r="BA260"/>
      <c r="BC260" s="189">
        <v>41.420765027322403</v>
      </c>
      <c r="BD260" s="183">
        <v>224.78329393223009</v>
      </c>
      <c r="BE260" s="140">
        <v>9.9416342412451364</v>
      </c>
      <c r="BF260" s="139">
        <v>8252.7580772261626</v>
      </c>
      <c r="BG260" s="184">
        <v>9154</v>
      </c>
      <c r="BH260" s="216">
        <v>4037</v>
      </c>
      <c r="BI260" s="216">
        <v>36937</v>
      </c>
      <c r="BJ260" s="216">
        <v>-32900</v>
      </c>
      <c r="BK260" s="216">
        <v>16591</v>
      </c>
      <c r="BL260" s="216">
        <v>18471</v>
      </c>
      <c r="BM260" s="151"/>
      <c r="BO260" s="216">
        <v>-147</v>
      </c>
      <c r="BP260" s="216">
        <v>72</v>
      </c>
      <c r="BQ260" s="216">
        <v>2087</v>
      </c>
      <c r="BR260" s="216">
        <v>1494</v>
      </c>
      <c r="BS260" s="216">
        <v>0</v>
      </c>
      <c r="BT260" s="216">
        <v>0</v>
      </c>
      <c r="BU260" s="216">
        <v>593</v>
      </c>
      <c r="BV260" s="184">
        <v>0</v>
      </c>
      <c r="BW260" s="183">
        <v>0</v>
      </c>
      <c r="BX260" s="183">
        <v>0</v>
      </c>
      <c r="BY260" s="183">
        <v>593</v>
      </c>
      <c r="BZ260" s="183">
        <v>-4689</v>
      </c>
      <c r="CA260" s="183">
        <v>2114</v>
      </c>
      <c r="CB260" s="167"/>
      <c r="CC260" s="183">
        <v>190</v>
      </c>
      <c r="CD260" s="183">
        <v>-4611</v>
      </c>
      <c r="CE260" s="180">
        <v>2085</v>
      </c>
      <c r="CF260" s="139">
        <v>16591</v>
      </c>
      <c r="CG260" s="216">
        <v>14564</v>
      </c>
      <c r="CH260" s="216">
        <v>923</v>
      </c>
      <c r="CI260" s="216">
        <v>1104</v>
      </c>
      <c r="CJ260" s="212">
        <v>22.5</v>
      </c>
      <c r="CK260" s="144"/>
      <c r="CL260" s="130">
        <v>54</v>
      </c>
      <c r="CM260" s="228">
        <v>4994</v>
      </c>
      <c r="CN260" s="138"/>
      <c r="CO260" s="142">
        <v>2.3559577677224737</v>
      </c>
      <c r="CP260" s="142">
        <v>52.025198090457209</v>
      </c>
      <c r="CQ260" s="183">
        <v>-2921.9062875450541</v>
      </c>
      <c r="CR260" s="144"/>
      <c r="CS260"/>
      <c r="CU260" s="232">
        <v>49.762104673943462</v>
      </c>
      <c r="CV260" s="143">
        <v>203.24389267120546</v>
      </c>
      <c r="CW260" s="146">
        <v>9.4986283106427702</v>
      </c>
      <c r="CX260" s="143">
        <v>7809.9719663596316</v>
      </c>
      <c r="CY260" s="131">
        <v>8870</v>
      </c>
      <c r="CZ260" s="229">
        <v>4108</v>
      </c>
      <c r="DA260" s="229">
        <v>36058</v>
      </c>
      <c r="DB260" s="216">
        <v>-31950</v>
      </c>
      <c r="DC260" s="229">
        <v>16810</v>
      </c>
      <c r="DD260" s="229">
        <v>19720</v>
      </c>
      <c r="DE260" s="151"/>
      <c r="DG260" s="229">
        <v>-135</v>
      </c>
      <c r="DH260" s="229">
        <v>69</v>
      </c>
      <c r="DI260" s="229">
        <v>4514</v>
      </c>
      <c r="DJ260" s="229">
        <v>1370</v>
      </c>
      <c r="DK260" s="229">
        <v>0</v>
      </c>
      <c r="DL260" s="229">
        <v>0</v>
      </c>
      <c r="DM260" s="229">
        <v>3144</v>
      </c>
      <c r="DN260" s="131">
        <v>0</v>
      </c>
      <c r="DO260" s="130">
        <v>0</v>
      </c>
      <c r="DP260" s="130">
        <v>0</v>
      </c>
      <c r="DQ260" s="130">
        <v>3144</v>
      </c>
      <c r="DR260" s="130">
        <v>-1545</v>
      </c>
      <c r="DS260" s="130">
        <v>4462</v>
      </c>
      <c r="DT260" s="167"/>
      <c r="DU260" s="183">
        <v>243</v>
      </c>
      <c r="DV260" s="183">
        <v>-1817</v>
      </c>
      <c r="DW260" s="180">
        <v>3618</v>
      </c>
      <c r="DX260" s="130">
        <v>16810</v>
      </c>
      <c r="DY260" s="229">
        <v>14830</v>
      </c>
      <c r="DZ260" s="229">
        <v>978</v>
      </c>
      <c r="EA260" s="229">
        <v>1002</v>
      </c>
      <c r="EB260" s="212">
        <v>22.5</v>
      </c>
      <c r="EC260" s="208"/>
      <c r="ED260" s="183">
        <v>60.066176470588303</v>
      </c>
      <c r="EE260" s="3">
        <v>24500</v>
      </c>
      <c r="EF260" s="183">
        <v>25011</v>
      </c>
      <c r="EG260" s="130">
        <v>24581</v>
      </c>
      <c r="EH260" s="130"/>
      <c r="EI260" s="130">
        <v>710</v>
      </c>
      <c r="EJ260" s="130"/>
      <c r="EK260" s="183">
        <v>-774</v>
      </c>
      <c r="EL260" s="183">
        <v>0</v>
      </c>
      <c r="EM260" s="183">
        <v>65</v>
      </c>
      <c r="EN260" s="226">
        <v>-154</v>
      </c>
      <c r="EO260" s="226">
        <v>6</v>
      </c>
      <c r="EP260" s="226">
        <v>119</v>
      </c>
      <c r="EQ260" s="226">
        <v>-954</v>
      </c>
      <c r="ER260" s="230">
        <v>0</v>
      </c>
      <c r="ES260" s="230">
        <v>110</v>
      </c>
      <c r="ET260" s="3">
        <v>0</v>
      </c>
      <c r="EU260" s="211">
        <v>-300</v>
      </c>
      <c r="EV260" s="183">
        <v>0</v>
      </c>
      <c r="EW260" s="183">
        <v>3050</v>
      </c>
      <c r="EX260" s="130">
        <v>2550</v>
      </c>
      <c r="EY260" s="183">
        <v>-4050</v>
      </c>
      <c r="EZ260" s="3">
        <v>23347</v>
      </c>
      <c r="FA260" s="3">
        <v>19263</v>
      </c>
      <c r="FB260" s="3">
        <v>4084</v>
      </c>
      <c r="FC260" s="3">
        <v>2902</v>
      </c>
      <c r="FD260" s="226">
        <v>21787</v>
      </c>
      <c r="FE260" s="183">
        <v>15284</v>
      </c>
      <c r="FF260" s="183">
        <v>6503</v>
      </c>
      <c r="FG260" s="183">
        <v>2774</v>
      </c>
      <c r="FH260" s="230">
        <v>18469</v>
      </c>
      <c r="FI260" s="130">
        <v>15652</v>
      </c>
      <c r="FJ260" s="130">
        <v>2817</v>
      </c>
      <c r="FK260" s="130">
        <v>2662</v>
      </c>
      <c r="FL260" s="29">
        <v>6052.9274912756882</v>
      </c>
      <c r="FM260" s="139">
        <v>6008.6682427107953</v>
      </c>
      <c r="FN260" s="139">
        <v>5568.0816980376449</v>
      </c>
      <c r="FO260" s="172">
        <f t="shared" si="12"/>
        <v>659.11111111111109</v>
      </c>
      <c r="FP260" s="170">
        <f t="shared" si="13"/>
        <v>131.98059894095135</v>
      </c>
      <c r="FR260" s="175"/>
      <c r="FS260" s="195"/>
      <c r="FV260" s="175">
        <v>57</v>
      </c>
      <c r="FW260" s="2">
        <f t="shared" si="14"/>
        <v>-57</v>
      </c>
      <c r="FZ260" s="186"/>
      <c r="GA260" s="2"/>
      <c r="GB260" s="2"/>
    </row>
    <row r="261" spans="1:184" ht="13" x14ac:dyDescent="0.3">
      <c r="A261" s="77">
        <v>848</v>
      </c>
      <c r="B261" s="75" t="s">
        <v>251</v>
      </c>
      <c r="C261" s="179">
        <v>4482</v>
      </c>
      <c r="D261" s="138"/>
      <c r="E261" s="142">
        <v>0.46360153256704983</v>
      </c>
      <c r="F261" s="142">
        <v>29.345869711215581</v>
      </c>
      <c r="G261" s="183">
        <v>-2091.7001338688083</v>
      </c>
      <c r="H261" s="144"/>
      <c r="I261" s="186"/>
      <c r="K261" s="210">
        <v>60.103025466153959</v>
      </c>
      <c r="L261" s="143">
        <v>109.77242302543507</v>
      </c>
      <c r="M261" s="146">
        <v>4.473284344252086</v>
      </c>
      <c r="N261" s="143">
        <v>8956.9388665774204</v>
      </c>
      <c r="O261" s="138">
        <v>11538</v>
      </c>
      <c r="P261" s="143">
        <v>7321</v>
      </c>
      <c r="Q261" s="184">
        <v>36959</v>
      </c>
      <c r="R261" s="184">
        <v>-29638</v>
      </c>
      <c r="S261" s="139">
        <v>13158</v>
      </c>
      <c r="T261" s="138">
        <v>16746</v>
      </c>
      <c r="U261" s="151"/>
      <c r="W261" s="183">
        <v>50</v>
      </c>
      <c r="X261" s="183">
        <v>130</v>
      </c>
      <c r="Y261" s="184">
        <v>446</v>
      </c>
      <c r="Z261" s="130">
        <v>919</v>
      </c>
      <c r="AA261" s="130">
        <v>0</v>
      </c>
      <c r="AB261" s="130">
        <v>0</v>
      </c>
      <c r="AC261" s="184">
        <v>-473</v>
      </c>
      <c r="AD261" s="184">
        <v>5</v>
      </c>
      <c r="AE261" s="183">
        <v>0</v>
      </c>
      <c r="AF261" s="183">
        <v>0</v>
      </c>
      <c r="AG261" s="183">
        <v>-468</v>
      </c>
      <c r="AH261" s="183">
        <v>2427</v>
      </c>
      <c r="AI261" s="183">
        <v>400</v>
      </c>
      <c r="AJ261" s="167"/>
      <c r="AK261" s="183">
        <v>-67</v>
      </c>
      <c r="AL261" s="183">
        <v>-1006</v>
      </c>
      <c r="AM261" s="180">
        <v>-1621</v>
      </c>
      <c r="AN261" s="139">
        <v>13158</v>
      </c>
      <c r="AO261" s="138">
        <v>11265</v>
      </c>
      <c r="AP261" s="184">
        <v>932</v>
      </c>
      <c r="AQ261" s="138">
        <v>961</v>
      </c>
      <c r="AR261" s="109">
        <v>21.75</v>
      </c>
      <c r="AS261" s="144"/>
      <c r="AT261" s="139">
        <v>215</v>
      </c>
      <c r="AU261" s="228">
        <v>4361</v>
      </c>
      <c r="AV261" s="138"/>
      <c r="AW261" s="224">
        <v>0.22617067833698032</v>
      </c>
      <c r="AX261" s="225">
        <v>34.437316225608129</v>
      </c>
      <c r="AY261" s="139">
        <v>-2759.2295345104335</v>
      </c>
      <c r="AZ261" s="144"/>
      <c r="BA261"/>
      <c r="BC261" s="189">
        <v>55.127315617844999</v>
      </c>
      <c r="BD261" s="183">
        <v>10.548039440495298</v>
      </c>
      <c r="BE261" s="140">
        <v>0.40596740654770541</v>
      </c>
      <c r="BF261" s="139">
        <v>9483.6046778261862</v>
      </c>
      <c r="BG261" s="184">
        <v>11424</v>
      </c>
      <c r="BH261" s="216">
        <v>6857</v>
      </c>
      <c r="BI261" s="216">
        <v>37304</v>
      </c>
      <c r="BJ261" s="216">
        <v>-30447</v>
      </c>
      <c r="BK261" s="216">
        <v>13591</v>
      </c>
      <c r="BL261" s="216">
        <v>16962</v>
      </c>
      <c r="BM261" s="151"/>
      <c r="BO261" s="216">
        <v>46</v>
      </c>
      <c r="BP261" s="216">
        <v>130</v>
      </c>
      <c r="BQ261" s="216">
        <v>282</v>
      </c>
      <c r="BR261" s="216">
        <v>959</v>
      </c>
      <c r="BS261" s="216">
        <v>0</v>
      </c>
      <c r="BT261" s="216">
        <v>0</v>
      </c>
      <c r="BU261" s="216">
        <v>-677</v>
      </c>
      <c r="BV261" s="184">
        <v>5</v>
      </c>
      <c r="BW261" s="183">
        <v>0</v>
      </c>
      <c r="BX261" s="183">
        <v>0</v>
      </c>
      <c r="BY261" s="183">
        <v>-672</v>
      </c>
      <c r="BZ261" s="183">
        <v>1755</v>
      </c>
      <c r="CA261" s="183">
        <v>262</v>
      </c>
      <c r="CB261" s="167"/>
      <c r="CC261" s="183">
        <v>253</v>
      </c>
      <c r="CD261" s="183">
        <v>-939</v>
      </c>
      <c r="CE261" s="180">
        <v>-2456</v>
      </c>
      <c r="CF261" s="139">
        <v>13591</v>
      </c>
      <c r="CG261" s="216">
        <v>11669</v>
      </c>
      <c r="CH261" s="216">
        <v>980</v>
      </c>
      <c r="CI261" s="216">
        <v>942</v>
      </c>
      <c r="CJ261" s="212">
        <v>21.75</v>
      </c>
      <c r="CK261" s="144"/>
      <c r="CL261" s="130">
        <v>204</v>
      </c>
      <c r="CM261" s="228">
        <v>4307</v>
      </c>
      <c r="CN261" s="138"/>
      <c r="CO261" s="142">
        <v>1.6053113553113554</v>
      </c>
      <c r="CP261" s="142">
        <v>33.005114113426458</v>
      </c>
      <c r="CQ261" s="183">
        <v>-2779.4288367773393</v>
      </c>
      <c r="CR261" s="144"/>
      <c r="CS261"/>
      <c r="CU261" s="232">
        <v>53.652333946796048</v>
      </c>
      <c r="CV261" s="143">
        <v>0.69654051543998141</v>
      </c>
      <c r="CW261" s="146">
        <v>2.6467175867736635E-2</v>
      </c>
      <c r="CX261" s="143">
        <v>9605.7580682609714</v>
      </c>
      <c r="CY261" s="131">
        <v>10809</v>
      </c>
      <c r="CZ261" s="229">
        <v>7001</v>
      </c>
      <c r="DA261" s="229">
        <v>37759</v>
      </c>
      <c r="DB261" s="216">
        <v>-30758</v>
      </c>
      <c r="DC261" s="229">
        <v>13542</v>
      </c>
      <c r="DD261" s="229">
        <v>18760</v>
      </c>
      <c r="DE261" s="151"/>
      <c r="DG261" s="229">
        <v>46</v>
      </c>
      <c r="DH261" s="229">
        <v>122</v>
      </c>
      <c r="DI261" s="229">
        <v>1712</v>
      </c>
      <c r="DJ261" s="229">
        <v>1568</v>
      </c>
      <c r="DK261" s="229">
        <v>0</v>
      </c>
      <c r="DL261" s="229">
        <v>0</v>
      </c>
      <c r="DM261" s="229">
        <v>144</v>
      </c>
      <c r="DN261" s="131">
        <v>5</v>
      </c>
      <c r="DO261" s="130">
        <v>0</v>
      </c>
      <c r="DP261" s="130">
        <v>0</v>
      </c>
      <c r="DQ261" s="130">
        <v>149</v>
      </c>
      <c r="DR261" s="130">
        <v>1903</v>
      </c>
      <c r="DS261" s="130">
        <v>1974</v>
      </c>
      <c r="DT261" s="167"/>
      <c r="DU261" s="183">
        <v>-194</v>
      </c>
      <c r="DV261" s="183">
        <v>-1051</v>
      </c>
      <c r="DW261" s="180">
        <v>-196</v>
      </c>
      <c r="DX261" s="130">
        <v>13542</v>
      </c>
      <c r="DY261" s="229">
        <v>11561</v>
      </c>
      <c r="DZ261" s="229">
        <v>1103</v>
      </c>
      <c r="EA261" s="229">
        <v>878</v>
      </c>
      <c r="EB261" s="212">
        <v>21.75</v>
      </c>
      <c r="EC261" s="208"/>
      <c r="ED261" s="183">
        <v>256.5</v>
      </c>
      <c r="EE261" s="3">
        <v>22708</v>
      </c>
      <c r="EF261" s="183">
        <v>23292</v>
      </c>
      <c r="EG261" s="130">
        <v>24027</v>
      </c>
      <c r="EH261" s="130"/>
      <c r="EI261" s="130"/>
      <c r="EJ261" s="130"/>
      <c r="EK261" s="183">
        <v>-2138</v>
      </c>
      <c r="EL261" s="183">
        <v>56</v>
      </c>
      <c r="EM261" s="183">
        <v>61</v>
      </c>
      <c r="EN261" s="226">
        <v>-2821</v>
      </c>
      <c r="EO261" s="226">
        <v>65</v>
      </c>
      <c r="EP261" s="226">
        <v>38</v>
      </c>
      <c r="EQ261" s="226">
        <v>-2518</v>
      </c>
      <c r="ER261" s="230">
        <v>171</v>
      </c>
      <c r="ES261" s="230">
        <v>177</v>
      </c>
      <c r="ET261" s="3">
        <v>1500</v>
      </c>
      <c r="EU261" s="211">
        <v>712</v>
      </c>
      <c r="EV261" s="183">
        <v>2200</v>
      </c>
      <c r="EW261" s="183">
        <v>1218</v>
      </c>
      <c r="EX261" s="130">
        <v>0</v>
      </c>
      <c r="EY261" s="183">
        <v>269</v>
      </c>
      <c r="EZ261" s="3">
        <v>7554</v>
      </c>
      <c r="FA261" s="3">
        <v>5916</v>
      </c>
      <c r="FB261" s="3">
        <v>1638</v>
      </c>
      <c r="FC261" s="3">
        <v>3833</v>
      </c>
      <c r="FD261" s="226">
        <v>10033</v>
      </c>
      <c r="FE261" s="183">
        <v>7052</v>
      </c>
      <c r="FF261" s="183">
        <v>2981</v>
      </c>
      <c r="FG261" s="183">
        <v>4033</v>
      </c>
      <c r="FH261" s="230">
        <v>9252</v>
      </c>
      <c r="FI261" s="130">
        <v>6001</v>
      </c>
      <c r="FJ261" s="130">
        <v>3251</v>
      </c>
      <c r="FK261" s="130">
        <v>3732</v>
      </c>
      <c r="FL261" s="29">
        <v>2919.2324854975459</v>
      </c>
      <c r="FM261" s="139">
        <v>3730.5663838569135</v>
      </c>
      <c r="FN261" s="139">
        <v>3924.0770838170424</v>
      </c>
      <c r="FO261" s="172">
        <f t="shared" si="12"/>
        <v>531.54022988505744</v>
      </c>
      <c r="FP261" s="170">
        <f t="shared" si="13"/>
        <v>123.41310190040804</v>
      </c>
      <c r="FR261" s="175"/>
      <c r="FS261" s="195"/>
      <c r="FV261" s="175">
        <v>1398</v>
      </c>
      <c r="FW261" s="2">
        <f t="shared" si="14"/>
        <v>-1398</v>
      </c>
      <c r="FZ261" s="186"/>
      <c r="GA261" s="2"/>
      <c r="GB261" s="2"/>
    </row>
    <row r="262" spans="1:184" ht="13" x14ac:dyDescent="0.3">
      <c r="A262" s="77">
        <v>849</v>
      </c>
      <c r="B262" s="75" t="s">
        <v>252</v>
      </c>
      <c r="C262" s="179">
        <v>3112</v>
      </c>
      <c r="D262" s="138"/>
      <c r="E262" s="142">
        <v>1.1048951048951048</v>
      </c>
      <c r="F262" s="142">
        <v>61.567877629063098</v>
      </c>
      <c r="G262" s="183">
        <v>-5098.3290488431876</v>
      </c>
      <c r="H262" s="144"/>
      <c r="I262" s="186"/>
      <c r="K262" s="210">
        <v>37.396180875984953</v>
      </c>
      <c r="L262" s="143">
        <v>37.275064267352185</v>
      </c>
      <c r="M262" s="146">
        <v>1.471774193548387</v>
      </c>
      <c r="N262" s="143">
        <v>9244.2159383033413</v>
      </c>
      <c r="O262" s="138">
        <v>10452</v>
      </c>
      <c r="P262" s="143">
        <v>8654</v>
      </c>
      <c r="Q262" s="184">
        <v>27491</v>
      </c>
      <c r="R262" s="184">
        <v>-18837</v>
      </c>
      <c r="S262" s="139">
        <v>9316</v>
      </c>
      <c r="T262" s="138">
        <v>10272</v>
      </c>
      <c r="U262" s="151"/>
      <c r="W262" s="183">
        <v>-134</v>
      </c>
      <c r="X262" s="183">
        <v>12</v>
      </c>
      <c r="Y262" s="184">
        <v>629</v>
      </c>
      <c r="Z262" s="130">
        <v>972</v>
      </c>
      <c r="AA262" s="130">
        <v>0</v>
      </c>
      <c r="AB262" s="130">
        <v>0</v>
      </c>
      <c r="AC262" s="184">
        <v>-343</v>
      </c>
      <c r="AD262" s="183">
        <v>30</v>
      </c>
      <c r="AE262" s="183">
        <v>0</v>
      </c>
      <c r="AF262" s="183">
        <v>0</v>
      </c>
      <c r="AG262" s="183">
        <v>-313</v>
      </c>
      <c r="AH262" s="183">
        <v>1201</v>
      </c>
      <c r="AI262" s="183">
        <v>276</v>
      </c>
      <c r="AJ262" s="167"/>
      <c r="AK262" s="183">
        <v>174</v>
      </c>
      <c r="AL262" s="183">
        <v>-554</v>
      </c>
      <c r="AM262" s="180">
        <v>399</v>
      </c>
      <c r="AN262" s="139">
        <v>9316</v>
      </c>
      <c r="AO262" s="138">
        <v>7874</v>
      </c>
      <c r="AP262" s="184">
        <v>592</v>
      </c>
      <c r="AQ262" s="138">
        <v>850</v>
      </c>
      <c r="AR262" s="109">
        <v>21.75</v>
      </c>
      <c r="AS262" s="144"/>
      <c r="AT262" s="139">
        <v>169</v>
      </c>
      <c r="AU262" s="228">
        <v>3033</v>
      </c>
      <c r="AV262" s="138"/>
      <c r="AW262" s="224">
        <v>0.17138122854775714</v>
      </c>
      <c r="AX262" s="225">
        <v>63.152842464535858</v>
      </c>
      <c r="AY262" s="139">
        <v>-5389.3834487306294</v>
      </c>
      <c r="AZ262" s="144"/>
      <c r="BA262"/>
      <c r="BC262" s="189">
        <v>35.250891538489249</v>
      </c>
      <c r="BD262" s="183">
        <v>55.060995713814705</v>
      </c>
      <c r="BE262" s="140">
        <v>2.0918700024022789</v>
      </c>
      <c r="BF262" s="139">
        <v>9607.3194856577647</v>
      </c>
      <c r="BG262" s="184">
        <v>10902</v>
      </c>
      <c r="BH262" s="216">
        <v>8464</v>
      </c>
      <c r="BI262" s="216">
        <v>27801</v>
      </c>
      <c r="BJ262" s="216">
        <v>-19337</v>
      </c>
      <c r="BK262" s="216">
        <v>9316</v>
      </c>
      <c r="BL262" s="216">
        <v>10347</v>
      </c>
      <c r="BM262" s="151"/>
      <c r="BO262" s="216">
        <v>-122</v>
      </c>
      <c r="BP262" s="216">
        <v>10</v>
      </c>
      <c r="BQ262" s="216">
        <v>214</v>
      </c>
      <c r="BR262" s="216">
        <v>965</v>
      </c>
      <c r="BS262" s="216">
        <v>0</v>
      </c>
      <c r="BT262" s="216">
        <v>0</v>
      </c>
      <c r="BU262" s="216">
        <v>-751</v>
      </c>
      <c r="BV262" s="183">
        <v>0</v>
      </c>
      <c r="BW262" s="183">
        <v>0</v>
      </c>
      <c r="BX262" s="183">
        <v>0</v>
      </c>
      <c r="BY262" s="183">
        <v>-751</v>
      </c>
      <c r="BZ262" s="183">
        <v>451</v>
      </c>
      <c r="CA262" s="183">
        <v>177</v>
      </c>
      <c r="CB262" s="167"/>
      <c r="CC262" s="183">
        <v>157</v>
      </c>
      <c r="CD262" s="183">
        <v>-555</v>
      </c>
      <c r="CE262" s="180">
        <v>-419</v>
      </c>
      <c r="CF262" s="139">
        <v>9316</v>
      </c>
      <c r="CG262" s="216">
        <v>7962</v>
      </c>
      <c r="CH262" s="216">
        <v>594</v>
      </c>
      <c r="CI262" s="216">
        <v>760</v>
      </c>
      <c r="CJ262" s="212">
        <v>21.75</v>
      </c>
      <c r="CK262" s="144"/>
      <c r="CL262" s="130">
        <v>197</v>
      </c>
      <c r="CM262" s="228">
        <v>2966</v>
      </c>
      <c r="CN262" s="138"/>
      <c r="CO262" s="142">
        <v>3.4531024531024532</v>
      </c>
      <c r="CP262" s="142">
        <v>63.071754099996674</v>
      </c>
      <c r="CQ262" s="183">
        <v>-5316.9251517194871</v>
      </c>
      <c r="CR262" s="144"/>
      <c r="CS262"/>
      <c r="CU262" s="232">
        <v>36.703289430140977</v>
      </c>
      <c r="CV262" s="143">
        <v>220.83614295347269</v>
      </c>
      <c r="CW262" s="146">
        <v>7.8413526189773357</v>
      </c>
      <c r="CX262" s="143">
        <v>10279.50101146325</v>
      </c>
      <c r="CY262" s="131">
        <v>10426</v>
      </c>
      <c r="CZ262" s="229">
        <v>8593</v>
      </c>
      <c r="DA262" s="229">
        <v>27712</v>
      </c>
      <c r="DB262" s="216">
        <v>-19119</v>
      </c>
      <c r="DC262" s="229">
        <v>9412</v>
      </c>
      <c r="DD262" s="229">
        <v>12056</v>
      </c>
      <c r="DE262" s="151"/>
      <c r="DG262" s="229">
        <v>-112</v>
      </c>
      <c r="DH262" s="229">
        <v>18</v>
      </c>
      <c r="DI262" s="229">
        <v>2255</v>
      </c>
      <c r="DJ262" s="229">
        <v>950</v>
      </c>
      <c r="DK262" s="229">
        <v>0</v>
      </c>
      <c r="DL262" s="229">
        <v>0</v>
      </c>
      <c r="DM262" s="229">
        <v>1305</v>
      </c>
      <c r="DN262" s="130">
        <v>0</v>
      </c>
      <c r="DO262" s="130">
        <v>0</v>
      </c>
      <c r="DP262" s="130">
        <v>0</v>
      </c>
      <c r="DQ262" s="130">
        <v>1305</v>
      </c>
      <c r="DR262" s="130">
        <v>1756</v>
      </c>
      <c r="DS262" s="130">
        <v>2295</v>
      </c>
      <c r="DT262" s="167"/>
      <c r="DU262" s="183">
        <v>-1285</v>
      </c>
      <c r="DV262" s="183">
        <v>-555</v>
      </c>
      <c r="DW262" s="180">
        <v>350</v>
      </c>
      <c r="DX262" s="130">
        <v>9412</v>
      </c>
      <c r="DY262" s="229">
        <v>7972</v>
      </c>
      <c r="DZ262" s="229">
        <v>698</v>
      </c>
      <c r="EA262" s="229">
        <v>742</v>
      </c>
      <c r="EB262" s="212">
        <v>21.75</v>
      </c>
      <c r="EC262" s="208"/>
      <c r="ED262" s="183">
        <v>100.360294117647</v>
      </c>
      <c r="EE262" s="3">
        <v>14944</v>
      </c>
      <c r="EF262" s="183">
        <v>14706</v>
      </c>
      <c r="EG262" s="130">
        <v>15001</v>
      </c>
      <c r="EH262" s="130"/>
      <c r="EI262" s="130"/>
      <c r="EJ262" s="130"/>
      <c r="EK262" s="183">
        <v>-554</v>
      </c>
      <c r="EL262" s="183">
        <v>10</v>
      </c>
      <c r="EM262" s="183">
        <v>667</v>
      </c>
      <c r="EN262" s="226">
        <v>-625</v>
      </c>
      <c r="EO262" s="226">
        <v>29</v>
      </c>
      <c r="EP262" s="226">
        <v>0</v>
      </c>
      <c r="EQ262" s="226">
        <v>-2077</v>
      </c>
      <c r="ER262" s="230">
        <v>0</v>
      </c>
      <c r="ES262" s="230">
        <v>132</v>
      </c>
      <c r="ET262" s="3">
        <v>0</v>
      </c>
      <c r="EU262" s="211">
        <v>-600</v>
      </c>
      <c r="EV262" s="183">
        <v>0</v>
      </c>
      <c r="EW262" s="183">
        <v>1301</v>
      </c>
      <c r="EX262" s="130">
        <v>0</v>
      </c>
      <c r="EY262" s="183">
        <v>1499</v>
      </c>
      <c r="EZ262" s="3">
        <v>14280</v>
      </c>
      <c r="FA262" s="3">
        <v>10525</v>
      </c>
      <c r="FB262" s="3">
        <v>3755</v>
      </c>
      <c r="FC262" s="3">
        <v>694</v>
      </c>
      <c r="FD262" s="226">
        <v>15026</v>
      </c>
      <c r="FE262" s="183">
        <v>9970</v>
      </c>
      <c r="FF262" s="183">
        <v>5056</v>
      </c>
      <c r="FG262" s="183">
        <v>694</v>
      </c>
      <c r="FH262" s="230">
        <v>15970</v>
      </c>
      <c r="FI262" s="130">
        <v>9403</v>
      </c>
      <c r="FJ262" s="130">
        <v>6567</v>
      </c>
      <c r="FK262" s="130">
        <v>494</v>
      </c>
      <c r="FL262" s="29">
        <v>9173.5218508997423</v>
      </c>
      <c r="FM262" s="139">
        <v>9505.440158259149</v>
      </c>
      <c r="FN262" s="139">
        <v>9730.6136210384357</v>
      </c>
      <c r="FO262" s="172">
        <f t="shared" si="12"/>
        <v>366.5287356321839</v>
      </c>
      <c r="FP262" s="170">
        <f t="shared" si="13"/>
        <v>123.57678207423598</v>
      </c>
      <c r="FR262" s="175"/>
      <c r="FS262" s="195"/>
      <c r="FV262" s="175">
        <v>10</v>
      </c>
      <c r="FW262" s="2">
        <f t="shared" si="14"/>
        <v>-10</v>
      </c>
      <c r="FZ262" s="186"/>
      <c r="GA262" s="2"/>
      <c r="GB262" s="2"/>
    </row>
    <row r="263" spans="1:184" ht="13" x14ac:dyDescent="0.3">
      <c r="A263" s="77">
        <v>850</v>
      </c>
      <c r="B263" s="75" t="s">
        <v>253</v>
      </c>
      <c r="C263" s="179">
        <v>2406</v>
      </c>
      <c r="D263" s="138"/>
      <c r="E263" s="142">
        <v>0.21492537313432836</v>
      </c>
      <c r="F263" s="142">
        <v>61.646433990895297</v>
      </c>
      <c r="G263" s="183">
        <v>-3406.0681629260184</v>
      </c>
      <c r="H263" s="144"/>
      <c r="I263" s="186"/>
      <c r="K263" s="210">
        <v>39.401956561865504</v>
      </c>
      <c r="L263" s="143">
        <v>218.20448877805487</v>
      </c>
      <c r="M263" s="146">
        <v>10.381677321486618</v>
      </c>
      <c r="N263" s="143">
        <v>7671.6541978387368</v>
      </c>
      <c r="O263" s="138">
        <v>6036</v>
      </c>
      <c r="P263" s="143">
        <v>2006</v>
      </c>
      <c r="Q263" s="184">
        <v>15633</v>
      </c>
      <c r="R263" s="184">
        <v>-13627</v>
      </c>
      <c r="S263" s="139">
        <v>7865</v>
      </c>
      <c r="T263" s="138">
        <v>5945</v>
      </c>
      <c r="U263" s="151"/>
      <c r="W263" s="183">
        <v>-51</v>
      </c>
      <c r="X263" s="183">
        <v>33</v>
      </c>
      <c r="Y263" s="184">
        <v>165</v>
      </c>
      <c r="Z263" s="130">
        <v>1643</v>
      </c>
      <c r="AA263" s="130">
        <v>0</v>
      </c>
      <c r="AB263" s="130">
        <v>0</v>
      </c>
      <c r="AC263" s="184">
        <v>-1478</v>
      </c>
      <c r="AD263" s="184">
        <v>21</v>
      </c>
      <c r="AE263" s="183">
        <v>0</v>
      </c>
      <c r="AF263" s="183">
        <v>0</v>
      </c>
      <c r="AG263" s="183">
        <v>-1457</v>
      </c>
      <c r="AH263" s="183">
        <v>373</v>
      </c>
      <c r="AI263" s="183">
        <v>221</v>
      </c>
      <c r="AJ263" s="167"/>
      <c r="AK263" s="183">
        <v>133</v>
      </c>
      <c r="AL263" s="183">
        <v>-954</v>
      </c>
      <c r="AM263" s="180">
        <v>-1541</v>
      </c>
      <c r="AN263" s="139">
        <v>7865</v>
      </c>
      <c r="AO263" s="138">
        <v>6664</v>
      </c>
      <c r="AP263" s="184">
        <v>569</v>
      </c>
      <c r="AQ263" s="138">
        <v>632</v>
      </c>
      <c r="AR263" s="109">
        <v>21</v>
      </c>
      <c r="AS263" s="144"/>
      <c r="AT263" s="139">
        <v>224</v>
      </c>
      <c r="AU263" s="228">
        <v>2388</v>
      </c>
      <c r="AV263" s="138"/>
      <c r="AW263" s="224">
        <v>-2.7290499725425592</v>
      </c>
      <c r="AX263" s="225">
        <v>61.979752530933631</v>
      </c>
      <c r="AY263" s="139">
        <v>-3559.4639865996651</v>
      </c>
      <c r="AZ263" s="144"/>
      <c r="BA263"/>
      <c r="BC263" s="189">
        <v>15.150356778797146</v>
      </c>
      <c r="BD263" s="183">
        <v>220.68676716917923</v>
      </c>
      <c r="BE263" s="140">
        <v>9.4240850521777482</v>
      </c>
      <c r="BF263" s="139">
        <v>8547.3199329983254</v>
      </c>
      <c r="BG263" s="184">
        <v>5464</v>
      </c>
      <c r="BH263" s="216">
        <v>1772</v>
      </c>
      <c r="BI263" s="216">
        <v>19142</v>
      </c>
      <c r="BJ263" s="216">
        <v>-17370</v>
      </c>
      <c r="BK263" s="216">
        <v>8277</v>
      </c>
      <c r="BL263" s="216">
        <v>5953</v>
      </c>
      <c r="BM263" s="151"/>
      <c r="BO263" s="216">
        <v>-45</v>
      </c>
      <c r="BP263" s="216">
        <v>34</v>
      </c>
      <c r="BQ263" s="216">
        <v>-3151</v>
      </c>
      <c r="BR263" s="216">
        <v>875</v>
      </c>
      <c r="BS263" s="216">
        <v>0</v>
      </c>
      <c r="BT263" s="216">
        <v>0</v>
      </c>
      <c r="BU263" s="216">
        <v>-4026</v>
      </c>
      <c r="BV263" s="184">
        <v>21</v>
      </c>
      <c r="BW263" s="183">
        <v>0</v>
      </c>
      <c r="BX263" s="183">
        <v>0</v>
      </c>
      <c r="BY263" s="183">
        <v>-4005</v>
      </c>
      <c r="BZ263" s="183">
        <v>-3631</v>
      </c>
      <c r="CA263" s="183">
        <v>113</v>
      </c>
      <c r="CB263" s="167"/>
      <c r="CC263" s="183">
        <v>138</v>
      </c>
      <c r="CD263" s="183">
        <v>-692</v>
      </c>
      <c r="CE263" s="180">
        <v>-351</v>
      </c>
      <c r="CF263" s="139">
        <v>8277</v>
      </c>
      <c r="CG263" s="216">
        <v>6961</v>
      </c>
      <c r="CH263" s="216">
        <v>624</v>
      </c>
      <c r="CI263" s="216">
        <v>692</v>
      </c>
      <c r="CJ263" s="212">
        <v>21</v>
      </c>
      <c r="CK263" s="144"/>
      <c r="CL263" s="130">
        <v>292</v>
      </c>
      <c r="CM263" s="228">
        <v>2401</v>
      </c>
      <c r="CN263" s="138"/>
      <c r="CO263" s="142">
        <v>2.966417910447761</v>
      </c>
      <c r="CP263" s="142">
        <v>74.28539338462403</v>
      </c>
      <c r="CQ263" s="183">
        <v>-4141.191170345689</v>
      </c>
      <c r="CR263" s="144"/>
      <c r="CS263"/>
      <c r="CU263" s="232">
        <v>22.675736961451246</v>
      </c>
      <c r="CV263" s="143">
        <v>641.39941690962098</v>
      </c>
      <c r="CW263" s="146">
        <v>32.931044583748317</v>
      </c>
      <c r="CX263" s="143">
        <v>7109.1211995002086</v>
      </c>
      <c r="CY263" s="131">
        <v>5384</v>
      </c>
      <c r="CZ263" s="229">
        <v>2431</v>
      </c>
      <c r="DA263" s="229">
        <v>15489</v>
      </c>
      <c r="DB263" s="216">
        <v>-13058</v>
      </c>
      <c r="DC263" s="229">
        <v>8398</v>
      </c>
      <c r="DD263" s="229">
        <v>6978</v>
      </c>
      <c r="DE263" s="151"/>
      <c r="DG263" s="229">
        <v>-50</v>
      </c>
      <c r="DH263" s="229">
        <v>67</v>
      </c>
      <c r="DI263" s="229">
        <v>2335</v>
      </c>
      <c r="DJ263" s="229">
        <v>813</v>
      </c>
      <c r="DK263" s="229">
        <v>0</v>
      </c>
      <c r="DL263" s="229">
        <v>0</v>
      </c>
      <c r="DM263" s="229">
        <v>1522</v>
      </c>
      <c r="DN263" s="131">
        <v>21</v>
      </c>
      <c r="DO263" s="130">
        <v>0</v>
      </c>
      <c r="DP263" s="130">
        <v>0</v>
      </c>
      <c r="DQ263" s="130">
        <v>1543</v>
      </c>
      <c r="DR263" s="130">
        <v>-2088</v>
      </c>
      <c r="DS263" s="130">
        <v>-1044</v>
      </c>
      <c r="DT263" s="167"/>
      <c r="DU263" s="183">
        <v>-853</v>
      </c>
      <c r="DV263" s="183">
        <v>-754</v>
      </c>
      <c r="DW263" s="180">
        <v>-1512</v>
      </c>
      <c r="DX263" s="130">
        <v>8398</v>
      </c>
      <c r="DY263" s="229">
        <v>7035</v>
      </c>
      <c r="DZ263" s="229">
        <v>684</v>
      </c>
      <c r="EA263" s="229">
        <v>679</v>
      </c>
      <c r="EB263" s="212">
        <v>21</v>
      </c>
      <c r="EC263" s="208"/>
      <c r="ED263" s="183">
        <v>42.941176470588303</v>
      </c>
      <c r="EE263" s="3">
        <v>7186</v>
      </c>
      <c r="EF263" s="183">
        <v>7531</v>
      </c>
      <c r="EG263" s="130">
        <v>7630</v>
      </c>
      <c r="EH263" s="130"/>
      <c r="EI263" s="130"/>
      <c r="EJ263" s="130">
        <v>330</v>
      </c>
      <c r="EK263" s="183">
        <v>-1809</v>
      </c>
      <c r="EL263" s="183">
        <v>0</v>
      </c>
      <c r="EM263" s="183">
        <v>47</v>
      </c>
      <c r="EN263" s="226">
        <v>-490</v>
      </c>
      <c r="EO263" s="226">
        <v>8</v>
      </c>
      <c r="EP263" s="226">
        <v>18</v>
      </c>
      <c r="EQ263" s="226">
        <v>-607</v>
      </c>
      <c r="ER263" s="230">
        <v>58</v>
      </c>
      <c r="ES263" s="230">
        <v>81</v>
      </c>
      <c r="ET263" s="3">
        <v>1000</v>
      </c>
      <c r="EU263" s="211">
        <v>-16</v>
      </c>
      <c r="EV263" s="183">
        <v>500</v>
      </c>
      <c r="EW263" s="183">
        <v>1284</v>
      </c>
      <c r="EX263" s="130">
        <v>4132</v>
      </c>
      <c r="EY263" s="183">
        <v>0</v>
      </c>
      <c r="EZ263" s="3">
        <v>6999</v>
      </c>
      <c r="FA263" s="3">
        <v>6317</v>
      </c>
      <c r="FB263" s="3">
        <v>682</v>
      </c>
      <c r="FC263" s="3">
        <v>194</v>
      </c>
      <c r="FD263" s="226">
        <v>8092</v>
      </c>
      <c r="FE263" s="183">
        <v>6175</v>
      </c>
      <c r="FF263" s="183">
        <v>1917</v>
      </c>
      <c r="FG263" s="183">
        <v>185</v>
      </c>
      <c r="FH263" s="230">
        <v>11469</v>
      </c>
      <c r="FI263" s="130">
        <v>9277</v>
      </c>
      <c r="FJ263" s="130">
        <v>2192</v>
      </c>
      <c r="FK263" s="130">
        <v>177</v>
      </c>
      <c r="FL263" s="29">
        <v>4469.6591853699092</v>
      </c>
      <c r="FM263" s="139">
        <v>5399.9162479061979</v>
      </c>
      <c r="FN263" s="139">
        <v>7239.4835485214498</v>
      </c>
      <c r="FO263" s="172">
        <f t="shared" si="12"/>
        <v>335</v>
      </c>
      <c r="FP263" s="170">
        <f t="shared" si="13"/>
        <v>139.52519783423571</v>
      </c>
      <c r="FR263" s="175"/>
      <c r="FS263" s="195"/>
      <c r="FV263" s="175">
        <v>275</v>
      </c>
      <c r="FW263" s="2">
        <f t="shared" si="14"/>
        <v>-275</v>
      </c>
      <c r="FZ263" s="186"/>
      <c r="GA263" s="2"/>
      <c r="GB263" s="2"/>
    </row>
    <row r="264" spans="1:184" ht="13" x14ac:dyDescent="0.3">
      <c r="A264" s="77">
        <v>851</v>
      </c>
      <c r="B264" s="75" t="s">
        <v>254</v>
      </c>
      <c r="C264" s="179">
        <v>21875</v>
      </c>
      <c r="D264" s="138"/>
      <c r="E264" s="142">
        <v>0.67861170279413607</v>
      </c>
      <c r="F264" s="142">
        <v>52.974506273400209</v>
      </c>
      <c r="G264" s="183">
        <v>-2931.1542857142858</v>
      </c>
      <c r="H264" s="144"/>
      <c r="I264" s="186"/>
      <c r="K264" s="210">
        <v>42.044245823736027</v>
      </c>
      <c r="L264" s="143">
        <v>120.18285714285715</v>
      </c>
      <c r="M264" s="146">
        <v>6.3047220451902426</v>
      </c>
      <c r="N264" s="143">
        <v>6957.76</v>
      </c>
      <c r="O264" s="138">
        <v>54821</v>
      </c>
      <c r="P264" s="143">
        <v>17848</v>
      </c>
      <c r="Q264" s="184">
        <v>135249</v>
      </c>
      <c r="R264" s="184">
        <v>-117401</v>
      </c>
      <c r="S264" s="139">
        <v>83507</v>
      </c>
      <c r="T264" s="138">
        <v>38601</v>
      </c>
      <c r="U264" s="151"/>
      <c r="W264" s="183">
        <v>-141</v>
      </c>
      <c r="X264" s="183">
        <v>355</v>
      </c>
      <c r="Y264" s="184">
        <v>4921</v>
      </c>
      <c r="Z264" s="130">
        <v>5935</v>
      </c>
      <c r="AA264" s="130">
        <v>0</v>
      </c>
      <c r="AB264" s="130">
        <v>0</v>
      </c>
      <c r="AC264" s="184">
        <v>-1014</v>
      </c>
      <c r="AD264" s="184">
        <v>0</v>
      </c>
      <c r="AE264" s="183">
        <v>0</v>
      </c>
      <c r="AF264" s="183">
        <v>0</v>
      </c>
      <c r="AG264" s="183">
        <v>-1014</v>
      </c>
      <c r="AH264" s="183">
        <v>13688</v>
      </c>
      <c r="AI264" s="183">
        <v>4695</v>
      </c>
      <c r="AJ264" s="167"/>
      <c r="AK264" s="183">
        <v>-1653</v>
      </c>
      <c r="AL264" s="183">
        <v>-7486</v>
      </c>
      <c r="AM264" s="180">
        <v>-3259</v>
      </c>
      <c r="AN264" s="139">
        <v>83507</v>
      </c>
      <c r="AO264" s="138">
        <v>73472</v>
      </c>
      <c r="AP264" s="184">
        <v>3088</v>
      </c>
      <c r="AQ264" s="138">
        <v>6947</v>
      </c>
      <c r="AR264" s="109">
        <v>21</v>
      </c>
      <c r="AS264" s="144"/>
      <c r="AT264" s="139">
        <v>151</v>
      </c>
      <c r="AU264" s="228">
        <v>21602</v>
      </c>
      <c r="AV264" s="138"/>
      <c r="AW264" s="224">
        <v>4.2995342171264779E-2</v>
      </c>
      <c r="AX264" s="225">
        <v>56.312717627952829</v>
      </c>
      <c r="AY264" s="139">
        <v>-3202.4812517359505</v>
      </c>
      <c r="AZ264" s="144"/>
      <c r="BA264"/>
      <c r="BC264" s="189">
        <v>37.752075007685214</v>
      </c>
      <c r="BD264" s="183">
        <v>122.67382649754651</v>
      </c>
      <c r="BE264" s="140">
        <v>6.2820679353120736</v>
      </c>
      <c r="BF264" s="139">
        <v>7127.5807795574483</v>
      </c>
      <c r="BG264" s="184">
        <v>54756</v>
      </c>
      <c r="BH264" s="216">
        <v>18782</v>
      </c>
      <c r="BI264" s="216">
        <v>141108</v>
      </c>
      <c r="BJ264" s="216">
        <v>-122326</v>
      </c>
      <c r="BK264" s="216">
        <v>83881</v>
      </c>
      <c r="BL264" s="216">
        <v>38346</v>
      </c>
      <c r="BM264" s="151"/>
      <c r="BO264" s="216">
        <v>-58</v>
      </c>
      <c r="BP264" s="216">
        <v>133</v>
      </c>
      <c r="BQ264" s="216">
        <v>-24</v>
      </c>
      <c r="BR264" s="216">
        <v>5796</v>
      </c>
      <c r="BS264" s="216">
        <v>0</v>
      </c>
      <c r="BT264" s="216">
        <v>0</v>
      </c>
      <c r="BU264" s="216">
        <v>-5820</v>
      </c>
      <c r="BV264" s="184">
        <v>0</v>
      </c>
      <c r="BW264" s="183">
        <v>0</v>
      </c>
      <c r="BX264" s="183">
        <v>0</v>
      </c>
      <c r="BY264" s="183">
        <v>-5820</v>
      </c>
      <c r="BZ264" s="183">
        <v>7868</v>
      </c>
      <c r="CA264" s="183">
        <v>-317</v>
      </c>
      <c r="CB264" s="167"/>
      <c r="CC264" s="183">
        <v>-183</v>
      </c>
      <c r="CD264" s="183">
        <v>-7236</v>
      </c>
      <c r="CE264" s="180">
        <v>-5113</v>
      </c>
      <c r="CF264" s="139">
        <v>83881</v>
      </c>
      <c r="CG264" s="216">
        <v>73795</v>
      </c>
      <c r="CH264" s="216">
        <v>3001</v>
      </c>
      <c r="CI264" s="216">
        <v>7085</v>
      </c>
      <c r="CJ264" s="212">
        <v>21</v>
      </c>
      <c r="CK264" s="144"/>
      <c r="CL264" s="130">
        <v>231</v>
      </c>
      <c r="CM264" s="228">
        <v>21467</v>
      </c>
      <c r="CN264" s="138"/>
      <c r="CO264" s="142">
        <v>1.4507606084867894</v>
      </c>
      <c r="CP264" s="142">
        <v>51.403862101646723</v>
      </c>
      <c r="CQ264" s="183">
        <v>-3005.1241440350304</v>
      </c>
      <c r="CR264" s="144"/>
      <c r="CS264"/>
      <c r="CU264" s="232">
        <v>41.138123749547809</v>
      </c>
      <c r="CV264" s="143">
        <v>259.93385195882053</v>
      </c>
      <c r="CW264" s="146">
        <v>12.861039895934631</v>
      </c>
      <c r="CX264" s="143">
        <v>7376.9972515954723</v>
      </c>
      <c r="CY264" s="131">
        <v>53924</v>
      </c>
      <c r="CZ264" s="229">
        <v>17652</v>
      </c>
      <c r="DA264" s="229">
        <v>141503</v>
      </c>
      <c r="DB264" s="216">
        <v>-123851</v>
      </c>
      <c r="DC264" s="229">
        <v>86139</v>
      </c>
      <c r="DD264" s="229">
        <v>48147</v>
      </c>
      <c r="DE264" s="151"/>
      <c r="DG264" s="229">
        <v>-37</v>
      </c>
      <c r="DH264" s="229">
        <v>1893</v>
      </c>
      <c r="DI264" s="229">
        <v>12291</v>
      </c>
      <c r="DJ264" s="229">
        <v>5692</v>
      </c>
      <c r="DK264" s="229">
        <v>0</v>
      </c>
      <c r="DL264" s="229">
        <v>0</v>
      </c>
      <c r="DM264" s="229">
        <v>6599</v>
      </c>
      <c r="DN264" s="131">
        <v>0</v>
      </c>
      <c r="DO264" s="130">
        <v>0</v>
      </c>
      <c r="DP264" s="130">
        <v>0</v>
      </c>
      <c r="DQ264" s="130">
        <v>6599</v>
      </c>
      <c r="DR264" s="130">
        <v>14467</v>
      </c>
      <c r="DS264" s="130">
        <v>12019</v>
      </c>
      <c r="DT264" s="167"/>
      <c r="DU264" s="183">
        <v>-435</v>
      </c>
      <c r="DV264" s="183">
        <v>-8350</v>
      </c>
      <c r="DW264" s="180">
        <v>4946</v>
      </c>
      <c r="DX264" s="130">
        <v>86139</v>
      </c>
      <c r="DY264" s="229">
        <v>76536</v>
      </c>
      <c r="DZ264" s="229">
        <v>3289</v>
      </c>
      <c r="EA264" s="229">
        <v>6314</v>
      </c>
      <c r="EB264" s="212">
        <v>21</v>
      </c>
      <c r="EC264" s="208"/>
      <c r="ED264" s="183">
        <v>197.066176470588</v>
      </c>
      <c r="EE264" s="3">
        <v>59469</v>
      </c>
      <c r="EF264" s="183">
        <v>64249</v>
      </c>
      <c r="EG264" s="130">
        <v>64253</v>
      </c>
      <c r="EH264" s="130"/>
      <c r="EI264" s="130"/>
      <c r="EJ264" s="130"/>
      <c r="EK264" s="183">
        <v>-8971</v>
      </c>
      <c r="EL264" s="183">
        <v>720</v>
      </c>
      <c r="EM264" s="183">
        <v>297</v>
      </c>
      <c r="EN264" s="226">
        <v>-5212</v>
      </c>
      <c r="EO264" s="226">
        <v>118</v>
      </c>
      <c r="EP264" s="226">
        <v>298</v>
      </c>
      <c r="EQ264" s="226">
        <v>-7652</v>
      </c>
      <c r="ER264" s="230">
        <v>297</v>
      </c>
      <c r="ES264" s="230">
        <v>282</v>
      </c>
      <c r="ET264" s="3">
        <v>10000</v>
      </c>
      <c r="EU264" s="211">
        <v>7000</v>
      </c>
      <c r="EV264" s="183">
        <v>10000</v>
      </c>
      <c r="EW264" s="183">
        <v>3000</v>
      </c>
      <c r="EX264" s="130">
        <v>15000</v>
      </c>
      <c r="EY264" s="183">
        <v>-8000</v>
      </c>
      <c r="EZ264" s="3">
        <v>59936</v>
      </c>
      <c r="FA264" s="3">
        <v>32700</v>
      </c>
      <c r="FB264" s="3">
        <v>27236</v>
      </c>
      <c r="FC264" s="3">
        <v>9289</v>
      </c>
      <c r="FD264" s="226">
        <v>65700</v>
      </c>
      <c r="FE264" s="183">
        <v>35100</v>
      </c>
      <c r="FF264" s="183">
        <v>30600</v>
      </c>
      <c r="FG264" s="183">
        <v>9289</v>
      </c>
      <c r="FH264" s="230">
        <v>64350</v>
      </c>
      <c r="FI264" s="130">
        <v>41050</v>
      </c>
      <c r="FJ264" s="130">
        <v>23300</v>
      </c>
      <c r="FK264" s="130">
        <v>9598</v>
      </c>
      <c r="FL264" s="29">
        <v>4991.5885714285714</v>
      </c>
      <c r="FM264" s="139">
        <v>5198.4075548560322</v>
      </c>
      <c r="FN264" s="139">
        <v>5009.5495411561933</v>
      </c>
      <c r="FO264" s="172">
        <f t="shared" si="12"/>
        <v>3644.5714285714284</v>
      </c>
      <c r="FP264" s="170">
        <f t="shared" si="13"/>
        <v>169.77553587233561</v>
      </c>
      <c r="FR264" s="175"/>
      <c r="FS264" s="195"/>
      <c r="FV264" s="175">
        <v>5279</v>
      </c>
      <c r="FW264" s="2">
        <f t="shared" si="14"/>
        <v>-5279</v>
      </c>
      <c r="FZ264" s="186"/>
      <c r="GA264" s="2"/>
      <c r="GB264" s="2"/>
    </row>
    <row r="265" spans="1:184" ht="13" x14ac:dyDescent="0.3">
      <c r="A265" s="77">
        <v>853</v>
      </c>
      <c r="B265" s="75" t="s">
        <v>255</v>
      </c>
      <c r="C265" s="179">
        <v>191331</v>
      </c>
      <c r="D265" s="138"/>
      <c r="E265" s="142">
        <v>0.17581679073614556</v>
      </c>
      <c r="F265" s="142">
        <v>79.05300784016994</v>
      </c>
      <c r="G265" s="183">
        <v>-3649.5810924523471</v>
      </c>
      <c r="H265" s="144"/>
      <c r="I265" s="186"/>
      <c r="K265" s="210">
        <v>44.227267797628237</v>
      </c>
      <c r="L265" s="143">
        <v>1085.5114957847918</v>
      </c>
      <c r="M265" s="146">
        <v>50.843754254720515</v>
      </c>
      <c r="N265" s="143">
        <v>7792.7309218056662</v>
      </c>
      <c r="O265" s="138">
        <v>495830</v>
      </c>
      <c r="P265" s="143">
        <v>274221</v>
      </c>
      <c r="Q265" s="184">
        <v>1309940</v>
      </c>
      <c r="R265" s="184">
        <v>-1035719</v>
      </c>
      <c r="S265" s="139">
        <v>754526</v>
      </c>
      <c r="T265" s="138">
        <v>256380</v>
      </c>
      <c r="U265" s="151"/>
      <c r="W265" s="183">
        <v>16854</v>
      </c>
      <c r="X265" s="183">
        <v>14199</v>
      </c>
      <c r="Y265" s="184">
        <v>6240</v>
      </c>
      <c r="Z265" s="130">
        <v>56046</v>
      </c>
      <c r="AA265" s="131">
        <v>0</v>
      </c>
      <c r="AB265" s="131">
        <v>0</v>
      </c>
      <c r="AC265" s="184">
        <v>-49806</v>
      </c>
      <c r="AD265" s="184">
        <v>1531</v>
      </c>
      <c r="AE265" s="183">
        <v>400</v>
      </c>
      <c r="AF265" s="183">
        <v>75</v>
      </c>
      <c r="AG265" s="183">
        <v>-47800</v>
      </c>
      <c r="AH265" s="183">
        <v>208271</v>
      </c>
      <c r="AI265" s="183">
        <v>-14546</v>
      </c>
      <c r="AJ265" s="167"/>
      <c r="AK265" s="183">
        <v>4360</v>
      </c>
      <c r="AL265" s="183">
        <v>-70012</v>
      </c>
      <c r="AM265" s="180">
        <v>-74664</v>
      </c>
      <c r="AN265" s="139">
        <v>754526</v>
      </c>
      <c r="AO265" s="138">
        <v>601727</v>
      </c>
      <c r="AP265" s="184">
        <v>97196</v>
      </c>
      <c r="AQ265" s="138">
        <v>55603</v>
      </c>
      <c r="AR265" s="109">
        <v>19.5</v>
      </c>
      <c r="AS265" s="144"/>
      <c r="AT265" s="139">
        <v>242</v>
      </c>
      <c r="AU265" s="228">
        <v>192962</v>
      </c>
      <c r="AV265" s="138"/>
      <c r="AW265" s="224">
        <v>0.17442774883152903</v>
      </c>
      <c r="AX265" s="225">
        <v>70.753104328303408</v>
      </c>
      <c r="AY265" s="139">
        <v>-3132.9277267026669</v>
      </c>
      <c r="AZ265" s="144"/>
      <c r="BA265"/>
      <c r="BC265" s="189">
        <v>44.839387315318668</v>
      </c>
      <c r="BD265" s="183">
        <v>1236.1915817622123</v>
      </c>
      <c r="BE265" s="140">
        <v>55.286939559019537</v>
      </c>
      <c r="BF265" s="139">
        <v>8161.2390004249537</v>
      </c>
      <c r="BG265" s="184">
        <v>510352</v>
      </c>
      <c r="BH265" s="216">
        <v>282339</v>
      </c>
      <c r="BI265" s="216">
        <v>1355406</v>
      </c>
      <c r="BJ265" s="216">
        <v>-1071290</v>
      </c>
      <c r="BK265" s="216">
        <v>785052</v>
      </c>
      <c r="BL265" s="216">
        <v>261721</v>
      </c>
      <c r="BM265" s="151"/>
      <c r="BO265" s="216">
        <v>11267</v>
      </c>
      <c r="BP265" s="216">
        <v>24977</v>
      </c>
      <c r="BQ265" s="216">
        <v>11727</v>
      </c>
      <c r="BR265" s="216">
        <v>57729</v>
      </c>
      <c r="BS265" s="216">
        <v>7606</v>
      </c>
      <c r="BT265" s="216">
        <v>0</v>
      </c>
      <c r="BU265" s="216">
        <v>-38396</v>
      </c>
      <c r="BV265" s="184">
        <v>1945</v>
      </c>
      <c r="BW265" s="183">
        <v>0</v>
      </c>
      <c r="BX265" s="183">
        <v>0</v>
      </c>
      <c r="BY265" s="183">
        <v>-36451</v>
      </c>
      <c r="BZ265" s="183">
        <v>171820</v>
      </c>
      <c r="CA265" s="183">
        <v>-6453</v>
      </c>
      <c r="CB265" s="167"/>
      <c r="CC265" s="183">
        <v>11174</v>
      </c>
      <c r="CD265" s="183">
        <v>-83123</v>
      </c>
      <c r="CE265" s="180">
        <v>-89877</v>
      </c>
      <c r="CF265" s="139">
        <v>785052</v>
      </c>
      <c r="CG265" s="216">
        <v>621946</v>
      </c>
      <c r="CH265" s="216">
        <v>107347</v>
      </c>
      <c r="CI265" s="216">
        <v>55759</v>
      </c>
      <c r="CJ265" s="212">
        <v>19.5</v>
      </c>
      <c r="CK265" s="144"/>
      <c r="CL265" s="130">
        <v>207</v>
      </c>
      <c r="CM265" s="228">
        <v>194391</v>
      </c>
      <c r="CN265" s="138"/>
      <c r="CO265" s="142">
        <v>0.64829201569861516</v>
      </c>
      <c r="CP265" s="142">
        <v>64.487125428683868</v>
      </c>
      <c r="CQ265" s="183">
        <v>-3271.8592938973511</v>
      </c>
      <c r="CR265" s="144"/>
      <c r="CS265"/>
      <c r="CU265" s="232">
        <v>45.64821418406946</v>
      </c>
      <c r="CV265" s="143">
        <v>909.1830383093868</v>
      </c>
      <c r="CW265" s="146">
        <v>40.003599821404208</v>
      </c>
      <c r="CX265" s="143">
        <v>8295.5486622323042</v>
      </c>
      <c r="CY265" s="131">
        <v>522299</v>
      </c>
      <c r="CZ265" s="229">
        <v>271430</v>
      </c>
      <c r="DA265" s="229">
        <v>1390200</v>
      </c>
      <c r="DB265" s="216">
        <v>-1118770</v>
      </c>
      <c r="DC265" s="229">
        <v>816677</v>
      </c>
      <c r="DD265" s="229">
        <v>336454</v>
      </c>
      <c r="DE265" s="151"/>
      <c r="DG265" s="229">
        <v>8171</v>
      </c>
      <c r="DH265" s="229">
        <v>22367</v>
      </c>
      <c r="DI265" s="229">
        <v>64899</v>
      </c>
      <c r="DJ265" s="229">
        <v>56741</v>
      </c>
      <c r="DK265" s="229">
        <v>0</v>
      </c>
      <c r="DL265" s="229">
        <v>0</v>
      </c>
      <c r="DM265" s="229">
        <v>8158</v>
      </c>
      <c r="DN265" s="131">
        <v>-922</v>
      </c>
      <c r="DO265" s="130">
        <v>3000</v>
      </c>
      <c r="DP265" s="130">
        <v>0</v>
      </c>
      <c r="DQ265" s="130">
        <v>10236</v>
      </c>
      <c r="DR265" s="130">
        <v>182056</v>
      </c>
      <c r="DS265" s="130">
        <v>48077</v>
      </c>
      <c r="DT265" s="167"/>
      <c r="DU265" s="183">
        <v>-7555</v>
      </c>
      <c r="DV265" s="183">
        <v>-104240</v>
      </c>
      <c r="DW265" s="180">
        <v>-4544</v>
      </c>
      <c r="DX265" s="130">
        <v>816677</v>
      </c>
      <c r="DY265" s="229">
        <v>654073</v>
      </c>
      <c r="DZ265" s="229">
        <v>110192</v>
      </c>
      <c r="EA265" s="229">
        <v>52412</v>
      </c>
      <c r="EB265" s="212">
        <v>19.5</v>
      </c>
      <c r="EC265" s="208"/>
      <c r="ED265" s="183">
        <v>268.588235294117</v>
      </c>
      <c r="EE265" s="3">
        <v>603034</v>
      </c>
      <c r="EF265" s="183">
        <v>620359</v>
      </c>
      <c r="EG265" s="130">
        <v>640634</v>
      </c>
      <c r="EH265" s="130"/>
      <c r="EI265" s="130"/>
      <c r="EJ265" s="130"/>
      <c r="EK265" s="183">
        <v>-81153</v>
      </c>
      <c r="EL265" s="183">
        <v>1123</v>
      </c>
      <c r="EM265" s="183">
        <v>19912</v>
      </c>
      <c r="EN265" s="226">
        <v>-120895</v>
      </c>
      <c r="EO265" s="226">
        <v>4169</v>
      </c>
      <c r="EP265" s="226">
        <v>33302</v>
      </c>
      <c r="EQ265" s="226">
        <v>-80404</v>
      </c>
      <c r="ER265" s="230">
        <v>3382</v>
      </c>
      <c r="ES265" s="230">
        <v>24401</v>
      </c>
      <c r="ET265" s="3">
        <v>120000</v>
      </c>
      <c r="EU265" s="211">
        <v>13780</v>
      </c>
      <c r="EV265" s="183">
        <v>0</v>
      </c>
      <c r="EW265" s="183">
        <v>3839</v>
      </c>
      <c r="EX265" s="130">
        <v>110000</v>
      </c>
      <c r="EY265" s="183">
        <v>-34517</v>
      </c>
      <c r="EZ265" s="3">
        <v>820824</v>
      </c>
      <c r="FA265" s="3">
        <v>568484</v>
      </c>
      <c r="FB265" s="3">
        <v>252340</v>
      </c>
      <c r="FC265" s="3">
        <v>640556</v>
      </c>
      <c r="FD265" s="226">
        <v>741540</v>
      </c>
      <c r="FE265" s="183">
        <v>464244</v>
      </c>
      <c r="FF265" s="183">
        <v>277296</v>
      </c>
      <c r="FG265" s="183">
        <v>457792</v>
      </c>
      <c r="FH265" s="230">
        <v>712782</v>
      </c>
      <c r="FI265" s="130">
        <v>520003</v>
      </c>
      <c r="FJ265" s="130">
        <v>192779</v>
      </c>
      <c r="FK265" s="130">
        <v>482827</v>
      </c>
      <c r="FL265" s="29">
        <v>7822.5692647819751</v>
      </c>
      <c r="FM265" s="139">
        <v>7549.8284636353274</v>
      </c>
      <c r="FN265" s="139">
        <v>7392.7805299628071</v>
      </c>
      <c r="FO265" s="172">
        <f t="shared" si="12"/>
        <v>33542.205128205125</v>
      </c>
      <c r="FP265" s="170">
        <f t="shared" si="13"/>
        <v>172.55019588460948</v>
      </c>
      <c r="FR265" s="175"/>
      <c r="FS265" s="195"/>
      <c r="FV265" s="175">
        <v>100000</v>
      </c>
      <c r="FW265" s="2">
        <f t="shared" si="14"/>
        <v>-100000</v>
      </c>
      <c r="FZ265" s="186"/>
      <c r="GA265" s="2"/>
      <c r="GB265" s="2"/>
    </row>
    <row r="266" spans="1:184" ht="13" x14ac:dyDescent="0.3">
      <c r="A266" s="77">
        <v>857</v>
      </c>
      <c r="B266" s="75" t="s">
        <v>257</v>
      </c>
      <c r="C266" s="179">
        <v>2551</v>
      </c>
      <c r="D266" s="138"/>
      <c r="E266" s="142">
        <v>5.865102639296188E-2</v>
      </c>
      <c r="F266" s="142">
        <v>27.296624888513357</v>
      </c>
      <c r="G266" s="183">
        <v>-1299.0983927871423</v>
      </c>
      <c r="H266" s="144"/>
      <c r="I266" s="186"/>
      <c r="K266" s="210">
        <v>74.643368165459833</v>
      </c>
      <c r="L266" s="143">
        <v>437.86750294002354</v>
      </c>
      <c r="M266" s="146">
        <v>17.768020570033993</v>
      </c>
      <c r="N266" s="143">
        <v>8994.9039592316749</v>
      </c>
      <c r="O266" s="138">
        <v>7229</v>
      </c>
      <c r="P266" s="143">
        <v>3668</v>
      </c>
      <c r="Q266" s="184">
        <v>21470</v>
      </c>
      <c r="R266" s="184">
        <v>-17802</v>
      </c>
      <c r="S266" s="139">
        <v>7833</v>
      </c>
      <c r="T266" s="138">
        <v>9804</v>
      </c>
      <c r="U266" s="151"/>
      <c r="W266" s="183">
        <v>-54</v>
      </c>
      <c r="X266" s="183">
        <v>202</v>
      </c>
      <c r="Y266" s="184">
        <v>-17</v>
      </c>
      <c r="Z266" s="130">
        <v>1118</v>
      </c>
      <c r="AA266" s="130">
        <v>56</v>
      </c>
      <c r="AB266" s="130">
        <v>0</v>
      </c>
      <c r="AC266" s="184">
        <v>-1079</v>
      </c>
      <c r="AD266" s="184">
        <v>111</v>
      </c>
      <c r="AE266" s="184">
        <v>0</v>
      </c>
      <c r="AF266" s="184">
        <v>0</v>
      </c>
      <c r="AG266" s="183">
        <v>-968</v>
      </c>
      <c r="AH266" s="183">
        <v>4562</v>
      </c>
      <c r="AI266" s="183">
        <v>34</v>
      </c>
      <c r="AJ266" s="167"/>
      <c r="AK266" s="183">
        <v>-295</v>
      </c>
      <c r="AL266" s="183">
        <v>-625</v>
      </c>
      <c r="AM266" s="180">
        <v>-636</v>
      </c>
      <c r="AN266" s="139">
        <v>7833</v>
      </c>
      <c r="AO266" s="138">
        <v>6182</v>
      </c>
      <c r="AP266" s="184">
        <v>712</v>
      </c>
      <c r="AQ266" s="138">
        <v>939</v>
      </c>
      <c r="AR266" s="109">
        <v>22</v>
      </c>
      <c r="AS266" s="144"/>
      <c r="AT266" s="139">
        <v>255</v>
      </c>
      <c r="AU266" s="228">
        <v>2477</v>
      </c>
      <c r="AV266" s="138"/>
      <c r="AW266" s="224">
        <v>-0.25552395537081601</v>
      </c>
      <c r="AX266" s="225">
        <v>23.633301470253539</v>
      </c>
      <c r="AY266" s="139">
        <v>-1698.4255147355673</v>
      </c>
      <c r="AZ266" s="144"/>
      <c r="BA266"/>
      <c r="BC266" s="189">
        <v>74.140091909204841</v>
      </c>
      <c r="BD266" s="183">
        <v>80.742834073475976</v>
      </c>
      <c r="BE266" s="140">
        <v>3.0149093462189733</v>
      </c>
      <c r="BF266" s="139">
        <v>9775.131207105369</v>
      </c>
      <c r="BG266" s="184">
        <v>7293</v>
      </c>
      <c r="BH266" s="216">
        <v>3960</v>
      </c>
      <c r="BI266" s="216">
        <v>22301</v>
      </c>
      <c r="BJ266" s="216">
        <v>-18335</v>
      </c>
      <c r="BK266" s="216">
        <v>8332</v>
      </c>
      <c r="BL266" s="216">
        <v>9677</v>
      </c>
      <c r="BM266" s="151"/>
      <c r="BO266" s="216">
        <v>-45</v>
      </c>
      <c r="BP266" s="216">
        <v>179</v>
      </c>
      <c r="BQ266" s="216">
        <v>-192</v>
      </c>
      <c r="BR266" s="216">
        <v>1051</v>
      </c>
      <c r="BS266" s="216">
        <v>0</v>
      </c>
      <c r="BT266" s="216">
        <v>0</v>
      </c>
      <c r="BU266" s="216">
        <v>-1243</v>
      </c>
      <c r="BV266" s="184">
        <v>111</v>
      </c>
      <c r="BW266" s="184">
        <v>0</v>
      </c>
      <c r="BX266" s="184">
        <v>0</v>
      </c>
      <c r="BY266" s="183">
        <v>-1132</v>
      </c>
      <c r="BZ266" s="183">
        <v>3430</v>
      </c>
      <c r="CA266" s="183">
        <v>-107</v>
      </c>
      <c r="CB266" s="167"/>
      <c r="CC266" s="183">
        <v>599</v>
      </c>
      <c r="CD266" s="183">
        <v>-625</v>
      </c>
      <c r="CE266" s="180">
        <v>-1139</v>
      </c>
      <c r="CF266" s="139">
        <v>8332</v>
      </c>
      <c r="CG266" s="216">
        <v>6658</v>
      </c>
      <c r="CH266" s="216">
        <v>739</v>
      </c>
      <c r="CI266" s="216">
        <v>935</v>
      </c>
      <c r="CJ266" s="212">
        <v>22</v>
      </c>
      <c r="CK266" s="144"/>
      <c r="CL266" s="130">
        <v>256</v>
      </c>
      <c r="CM266" s="228">
        <v>2433</v>
      </c>
      <c r="CN266" s="138"/>
      <c r="CO266" s="142">
        <v>1.2575757575757576</v>
      </c>
      <c r="CP266" s="142">
        <v>25.823186417424111</v>
      </c>
      <c r="CQ266" s="183">
        <v>-1668.72174270448</v>
      </c>
      <c r="CR266" s="144"/>
      <c r="CS266"/>
      <c r="CU266" s="232">
        <v>70.920832768820844</v>
      </c>
      <c r="CV266" s="143">
        <v>531.44266337854503</v>
      </c>
      <c r="CW266" s="146">
        <v>19.38252084274508</v>
      </c>
      <c r="CX266" s="143">
        <v>10007.80928894369</v>
      </c>
      <c r="CY266" s="131">
        <v>7151</v>
      </c>
      <c r="CZ266" s="229">
        <v>4037</v>
      </c>
      <c r="DA266" s="229">
        <v>22692</v>
      </c>
      <c r="DB266" s="216">
        <v>-18655</v>
      </c>
      <c r="DC266" s="229">
        <v>8345</v>
      </c>
      <c r="DD266" s="229">
        <v>10943</v>
      </c>
      <c r="DE266" s="151"/>
      <c r="DG266" s="229">
        <v>-35</v>
      </c>
      <c r="DH266" s="229">
        <v>197</v>
      </c>
      <c r="DI266" s="229">
        <v>795</v>
      </c>
      <c r="DJ266" s="229">
        <v>1062</v>
      </c>
      <c r="DK266" s="229">
        <v>0</v>
      </c>
      <c r="DL266" s="229">
        <v>0</v>
      </c>
      <c r="DM266" s="229">
        <v>-267</v>
      </c>
      <c r="DN266" s="131">
        <v>111</v>
      </c>
      <c r="DO266" s="131">
        <v>0</v>
      </c>
      <c r="DP266" s="131">
        <v>0</v>
      </c>
      <c r="DQ266" s="130">
        <v>-156</v>
      </c>
      <c r="DR266" s="130">
        <v>3274</v>
      </c>
      <c r="DS266" s="130">
        <v>853</v>
      </c>
      <c r="DT266" s="167"/>
      <c r="DU266" s="183">
        <v>115</v>
      </c>
      <c r="DV266" s="183">
        <v>-625</v>
      </c>
      <c r="DW266" s="180">
        <v>94</v>
      </c>
      <c r="DX266" s="130">
        <v>8345</v>
      </c>
      <c r="DY266" s="229">
        <v>6606</v>
      </c>
      <c r="DZ266" s="229">
        <v>883</v>
      </c>
      <c r="EA266" s="229">
        <v>856</v>
      </c>
      <c r="EB266" s="212">
        <v>22</v>
      </c>
      <c r="EC266" s="208"/>
      <c r="ED266" s="183">
        <v>269.59558823529397</v>
      </c>
      <c r="EE266" s="3">
        <v>11840</v>
      </c>
      <c r="EF266" s="183">
        <v>12466</v>
      </c>
      <c r="EG266" s="130">
        <v>12917</v>
      </c>
      <c r="EH266" s="130"/>
      <c r="EI266" s="130"/>
      <c r="EJ266" s="130">
        <v>340</v>
      </c>
      <c r="EK266" s="183">
        <v>-796</v>
      </c>
      <c r="EL266" s="183">
        <v>106</v>
      </c>
      <c r="EM266" s="183">
        <v>20</v>
      </c>
      <c r="EN266" s="226">
        <v>-1247</v>
      </c>
      <c r="EO266" s="226">
        <v>200</v>
      </c>
      <c r="EP266" s="226">
        <v>15</v>
      </c>
      <c r="EQ266" s="226">
        <v>-997</v>
      </c>
      <c r="ER266" s="230">
        <v>158</v>
      </c>
      <c r="ES266" s="230">
        <v>80</v>
      </c>
      <c r="ET266" s="3">
        <v>0</v>
      </c>
      <c r="EU266" s="211">
        <v>0</v>
      </c>
      <c r="EV266" s="183">
        <v>0</v>
      </c>
      <c r="EW266" s="183">
        <v>0</v>
      </c>
      <c r="EX266" s="130">
        <v>1500</v>
      </c>
      <c r="EY266" s="183">
        <v>0</v>
      </c>
      <c r="EZ266" s="3">
        <v>3675</v>
      </c>
      <c r="FA266" s="3">
        <v>3050</v>
      </c>
      <c r="FB266" s="3">
        <v>625</v>
      </c>
      <c r="FC266" s="3">
        <v>111</v>
      </c>
      <c r="FD266" s="226">
        <v>3050</v>
      </c>
      <c r="FE266" s="183">
        <v>2425</v>
      </c>
      <c r="FF266" s="183">
        <v>625</v>
      </c>
      <c r="FG266" s="183">
        <v>0</v>
      </c>
      <c r="FH266" s="230">
        <v>3925</v>
      </c>
      <c r="FI266" s="130">
        <v>3250</v>
      </c>
      <c r="FJ266" s="130">
        <v>675</v>
      </c>
      <c r="FK266" s="130">
        <v>0</v>
      </c>
      <c r="FL266" s="29">
        <v>3316.7385339082712</v>
      </c>
      <c r="FM266" s="139">
        <v>3327.0084779975778</v>
      </c>
      <c r="FN266" s="139">
        <v>3974.1060419235514</v>
      </c>
      <c r="FO266" s="172">
        <f t="shared" si="12"/>
        <v>300.27272727272725</v>
      </c>
      <c r="FP266" s="170">
        <f t="shared" si="13"/>
        <v>123.41665732541195</v>
      </c>
      <c r="FR266" s="175"/>
      <c r="FS266" s="195"/>
      <c r="FV266" s="175">
        <v>100</v>
      </c>
      <c r="FW266" s="2">
        <f t="shared" si="14"/>
        <v>-100</v>
      </c>
      <c r="FZ266" s="186"/>
      <c r="GA266" s="2"/>
      <c r="GB266" s="2"/>
    </row>
    <row r="267" spans="1:184" ht="13" x14ac:dyDescent="0.3">
      <c r="A267" s="77">
        <v>858</v>
      </c>
      <c r="B267" s="75" t="s">
        <v>258</v>
      </c>
      <c r="C267" s="179">
        <v>38664</v>
      </c>
      <c r="D267" s="138"/>
      <c r="E267" s="142">
        <v>17.514084507042252</v>
      </c>
      <c r="F267" s="142">
        <v>46.043223682719912</v>
      </c>
      <c r="G267" s="183">
        <v>-3118.378853714049</v>
      </c>
      <c r="H267" s="144"/>
      <c r="I267" s="186"/>
      <c r="K267" s="210">
        <v>56.429338168303879</v>
      </c>
      <c r="L267" s="143">
        <v>247.98261949099935</v>
      </c>
      <c r="M267" s="146">
        <v>10.451368979357797</v>
      </c>
      <c r="N267" s="143">
        <v>8660.4593420235869</v>
      </c>
      <c r="O267" s="138">
        <v>100729</v>
      </c>
      <c r="P267" s="143">
        <v>105837</v>
      </c>
      <c r="Q267" s="184">
        <v>297704</v>
      </c>
      <c r="R267" s="184">
        <v>-191867</v>
      </c>
      <c r="S267" s="139">
        <v>179203</v>
      </c>
      <c r="T267" s="138">
        <v>24291</v>
      </c>
      <c r="U267" s="151"/>
      <c r="W267" s="183">
        <v>-448</v>
      </c>
      <c r="X267" s="183">
        <v>546</v>
      </c>
      <c r="Y267" s="184">
        <v>11725</v>
      </c>
      <c r="Z267" s="130">
        <v>13465</v>
      </c>
      <c r="AA267" s="131">
        <v>0</v>
      </c>
      <c r="AB267" s="130">
        <v>576</v>
      </c>
      <c r="AC267" s="184">
        <v>-2316</v>
      </c>
      <c r="AD267" s="183">
        <v>0</v>
      </c>
      <c r="AE267" s="183">
        <v>0</v>
      </c>
      <c r="AF267" s="183">
        <v>0</v>
      </c>
      <c r="AG267" s="183">
        <v>-2316</v>
      </c>
      <c r="AH267" s="183">
        <v>51196</v>
      </c>
      <c r="AI267" s="183">
        <v>4979</v>
      </c>
      <c r="AJ267" s="167"/>
      <c r="AK267" s="183">
        <v>-2061</v>
      </c>
      <c r="AL267" s="183">
        <v>0</v>
      </c>
      <c r="AM267" s="180">
        <v>-23034</v>
      </c>
      <c r="AN267" s="139">
        <v>179203</v>
      </c>
      <c r="AO267" s="138">
        <v>161181</v>
      </c>
      <c r="AP267" s="184">
        <v>7817</v>
      </c>
      <c r="AQ267" s="138">
        <v>10205</v>
      </c>
      <c r="AR267" s="109">
        <v>19.5</v>
      </c>
      <c r="AS267" s="144"/>
      <c r="AT267" s="139">
        <v>109</v>
      </c>
      <c r="AU267" s="228">
        <v>38599</v>
      </c>
      <c r="AV267" s="138"/>
      <c r="AW267" s="224">
        <v>0.33849224154673491</v>
      </c>
      <c r="AX267" s="225">
        <v>70.281883944016357</v>
      </c>
      <c r="AY267" s="139">
        <v>-3879.4787429726157</v>
      </c>
      <c r="AZ267" s="144"/>
      <c r="BA267"/>
      <c r="BC267" s="189">
        <v>48.263712851828856</v>
      </c>
      <c r="BD267" s="183">
        <v>426.53954765667504</v>
      </c>
      <c r="BE267" s="140">
        <v>20.557822896532851</v>
      </c>
      <c r="BF267" s="139">
        <v>7573.1236560532652</v>
      </c>
      <c r="BG267" s="184">
        <v>75197</v>
      </c>
      <c r="BH267" s="216">
        <v>46408</v>
      </c>
      <c r="BI267" s="216">
        <v>248977</v>
      </c>
      <c r="BJ267" s="216">
        <v>-202303</v>
      </c>
      <c r="BK267" s="216">
        <v>182523</v>
      </c>
      <c r="BL267" s="216">
        <v>25429</v>
      </c>
      <c r="BM267" s="151"/>
      <c r="BO267" s="216">
        <v>-761</v>
      </c>
      <c r="BP267" s="216">
        <v>567</v>
      </c>
      <c r="BQ267" s="216">
        <v>5455</v>
      </c>
      <c r="BR267" s="216">
        <v>25385</v>
      </c>
      <c r="BS267" s="216">
        <v>0</v>
      </c>
      <c r="BT267" s="216">
        <v>0</v>
      </c>
      <c r="BU267" s="216">
        <v>-19930</v>
      </c>
      <c r="BV267" s="183">
        <v>0</v>
      </c>
      <c r="BW267" s="183">
        <v>0</v>
      </c>
      <c r="BX267" s="183">
        <v>0</v>
      </c>
      <c r="BY267" s="183">
        <v>-19930</v>
      </c>
      <c r="BZ267" s="183">
        <v>40835</v>
      </c>
      <c r="CA267" s="183">
        <v>-4352</v>
      </c>
      <c r="CB267" s="167"/>
      <c r="CC267" s="183">
        <v>-467</v>
      </c>
      <c r="CD267" s="183">
        <v>0</v>
      </c>
      <c r="CE267" s="180">
        <v>-32037</v>
      </c>
      <c r="CF267" s="139">
        <v>182523</v>
      </c>
      <c r="CG267" s="216">
        <v>164111</v>
      </c>
      <c r="CH267" s="216">
        <v>8148</v>
      </c>
      <c r="CI267" s="216">
        <v>10264</v>
      </c>
      <c r="CJ267" s="212">
        <v>19.5</v>
      </c>
      <c r="CK267" s="144"/>
      <c r="CL267" s="130">
        <v>157</v>
      </c>
      <c r="CM267" s="228">
        <v>38783</v>
      </c>
      <c r="CN267" s="138"/>
      <c r="CO267" s="142">
        <v>21.365762394761461</v>
      </c>
      <c r="CP267" s="142">
        <v>62.078843318344205</v>
      </c>
      <c r="CQ267" s="183">
        <v>-3843.307634788438</v>
      </c>
      <c r="CR267" s="144"/>
      <c r="CS267"/>
      <c r="CU267" s="232">
        <v>50.06125031931446</v>
      </c>
      <c r="CV267" s="143">
        <v>212.7994224273522</v>
      </c>
      <c r="CW267" s="146">
        <v>10.900707089714269</v>
      </c>
      <c r="CX267" s="143">
        <v>7125.3899904597374</v>
      </c>
      <c r="CY267" s="131">
        <v>75821</v>
      </c>
      <c r="CZ267" s="229">
        <v>38930</v>
      </c>
      <c r="DA267" s="229">
        <v>250890</v>
      </c>
      <c r="DB267" s="216">
        <v>-211960</v>
      </c>
      <c r="DC267" s="229">
        <v>192121</v>
      </c>
      <c r="DD267" s="229">
        <v>42077</v>
      </c>
      <c r="DE267" s="151"/>
      <c r="DG267" s="229">
        <v>-984</v>
      </c>
      <c r="DH267" s="229">
        <v>517</v>
      </c>
      <c r="DI267" s="229">
        <v>21771</v>
      </c>
      <c r="DJ267" s="229">
        <v>18767</v>
      </c>
      <c r="DK267" s="229">
        <v>0</v>
      </c>
      <c r="DL267" s="229">
        <v>0</v>
      </c>
      <c r="DM267" s="229">
        <v>3004</v>
      </c>
      <c r="DN267" s="130">
        <v>0</v>
      </c>
      <c r="DO267" s="130">
        <v>0</v>
      </c>
      <c r="DP267" s="130">
        <v>0</v>
      </c>
      <c r="DQ267" s="130">
        <v>3004</v>
      </c>
      <c r="DR267" s="130">
        <v>43839</v>
      </c>
      <c r="DS267" s="130">
        <v>16842</v>
      </c>
      <c r="DT267" s="167"/>
      <c r="DU267" s="183">
        <v>617</v>
      </c>
      <c r="DV267" s="183">
        <v>0</v>
      </c>
      <c r="DW267" s="180">
        <v>-1560</v>
      </c>
      <c r="DX267" s="130">
        <v>192121</v>
      </c>
      <c r="DY267" s="229">
        <v>173652</v>
      </c>
      <c r="DZ267" s="229">
        <v>8443</v>
      </c>
      <c r="EA267" s="229">
        <v>10026</v>
      </c>
      <c r="EB267" s="212">
        <v>19.5</v>
      </c>
      <c r="EC267" s="208"/>
      <c r="ED267" s="183">
        <v>202.10294117647001</v>
      </c>
      <c r="EE267" s="3">
        <v>165518</v>
      </c>
      <c r="EF267" s="183">
        <v>148943</v>
      </c>
      <c r="EG267" s="130">
        <v>149825</v>
      </c>
      <c r="EH267" s="130"/>
      <c r="EI267" s="130"/>
      <c r="EJ267" s="130"/>
      <c r="EK267" s="183">
        <v>-36400</v>
      </c>
      <c r="EL267" s="183">
        <v>1339</v>
      </c>
      <c r="EM267" s="183">
        <v>7048</v>
      </c>
      <c r="EN267" s="226">
        <v>-39732</v>
      </c>
      <c r="EO267" s="226">
        <v>1156</v>
      </c>
      <c r="EP267" s="226">
        <v>10891</v>
      </c>
      <c r="EQ267" s="226">
        <v>-24863</v>
      </c>
      <c r="ER267" s="230">
        <v>0</v>
      </c>
      <c r="ES267" s="230">
        <v>6461</v>
      </c>
      <c r="ET267" s="3">
        <v>15000</v>
      </c>
      <c r="EU267" s="211">
        <v>4708</v>
      </c>
      <c r="EV267" s="183">
        <v>30000</v>
      </c>
      <c r="EW267" s="183">
        <v>-2213</v>
      </c>
      <c r="EX267" s="130">
        <v>20000</v>
      </c>
      <c r="EY267" s="183">
        <v>-14986</v>
      </c>
      <c r="EZ267" s="3">
        <v>98599</v>
      </c>
      <c r="FA267" s="3">
        <v>65000</v>
      </c>
      <c r="FB267" s="3">
        <v>33599</v>
      </c>
      <c r="FC267" s="3">
        <v>7231</v>
      </c>
      <c r="FD267" s="226">
        <v>126386</v>
      </c>
      <c r="FE267" s="183">
        <v>85000</v>
      </c>
      <c r="FF267" s="183">
        <v>41386</v>
      </c>
      <c r="FG267" s="183">
        <v>3413</v>
      </c>
      <c r="FH267" s="230">
        <v>131400</v>
      </c>
      <c r="FI267" s="130">
        <v>105000</v>
      </c>
      <c r="FJ267" s="130">
        <v>26400</v>
      </c>
      <c r="FK267" s="130">
        <v>3090</v>
      </c>
      <c r="FL267" s="29">
        <v>4214.359611007656</v>
      </c>
      <c r="FM267" s="139">
        <v>5242.571051063499</v>
      </c>
      <c r="FN267" s="139">
        <v>5443.1580847278447</v>
      </c>
      <c r="FO267" s="172">
        <f t="shared" si="12"/>
        <v>8905.2307692307695</v>
      </c>
      <c r="FP267" s="170">
        <f t="shared" si="13"/>
        <v>229.61686226518756</v>
      </c>
      <c r="FR267" s="175"/>
      <c r="FS267" s="195"/>
      <c r="FV267" s="175">
        <v>7</v>
      </c>
      <c r="FW267" s="2">
        <f t="shared" si="14"/>
        <v>-7</v>
      </c>
      <c r="FZ267" s="186"/>
      <c r="GA267" s="2"/>
      <c r="GB267" s="2"/>
    </row>
    <row r="268" spans="1:184" ht="13" x14ac:dyDescent="0.3">
      <c r="A268" s="77">
        <v>859</v>
      </c>
      <c r="B268" s="75" t="s">
        <v>259</v>
      </c>
      <c r="C268" s="179">
        <v>6758</v>
      </c>
      <c r="D268" s="138"/>
      <c r="E268" s="142">
        <v>4.0584415584415581E-3</v>
      </c>
      <c r="F268" s="142">
        <v>94.98488394772771</v>
      </c>
      <c r="G268" s="183">
        <v>-5547.4992601361355</v>
      </c>
      <c r="H268" s="144"/>
      <c r="I268" s="186"/>
      <c r="K268" s="210">
        <v>24.98655397618133</v>
      </c>
      <c r="L268" s="143">
        <v>83.160698431488598</v>
      </c>
      <c r="M268" s="146">
        <v>4.3042994733197641</v>
      </c>
      <c r="N268" s="143">
        <v>7051.9384433264277</v>
      </c>
      <c r="O268" s="138">
        <v>17681</v>
      </c>
      <c r="P268" s="143">
        <v>4171</v>
      </c>
      <c r="Q268" s="184">
        <v>40998</v>
      </c>
      <c r="R268" s="184">
        <v>-36827</v>
      </c>
      <c r="S268" s="139">
        <v>18296</v>
      </c>
      <c r="T268" s="138">
        <v>18549</v>
      </c>
      <c r="U268" s="151"/>
      <c r="W268" s="183">
        <v>-301</v>
      </c>
      <c r="X268" s="183">
        <v>-5</v>
      </c>
      <c r="Y268" s="184">
        <v>-288</v>
      </c>
      <c r="Z268" s="130">
        <v>2026</v>
      </c>
      <c r="AA268" s="130">
        <v>0</v>
      </c>
      <c r="AB268" s="130">
        <v>0</v>
      </c>
      <c r="AC268" s="184">
        <v>-2314</v>
      </c>
      <c r="AD268" s="184">
        <v>0</v>
      </c>
      <c r="AE268" s="184">
        <v>0</v>
      </c>
      <c r="AF268" s="183">
        <v>0</v>
      </c>
      <c r="AG268" s="183">
        <v>-2314</v>
      </c>
      <c r="AH268" s="183">
        <v>1762</v>
      </c>
      <c r="AI268" s="183">
        <v>-522</v>
      </c>
      <c r="AJ268" s="167"/>
      <c r="AK268" s="183">
        <v>561</v>
      </c>
      <c r="AL268" s="183">
        <v>-3393</v>
      </c>
      <c r="AM268" s="180">
        <v>-3040</v>
      </c>
      <c r="AN268" s="139">
        <v>18296</v>
      </c>
      <c r="AO268" s="138">
        <v>16976</v>
      </c>
      <c r="AP268" s="184">
        <v>416</v>
      </c>
      <c r="AQ268" s="138">
        <v>904</v>
      </c>
      <c r="AR268" s="109">
        <v>21</v>
      </c>
      <c r="AS268" s="144"/>
      <c r="AT268" s="139">
        <v>265</v>
      </c>
      <c r="AU268" s="228">
        <v>6637</v>
      </c>
      <c r="AV268" s="138"/>
      <c r="AW268" s="224">
        <v>0.48275106779104149</v>
      </c>
      <c r="AX268" s="225">
        <v>87.642692723258321</v>
      </c>
      <c r="AY268" s="139">
        <v>-5460.1476570739796</v>
      </c>
      <c r="AZ268" s="144"/>
      <c r="BA268"/>
      <c r="BC268" s="189">
        <v>26.071661495286467</v>
      </c>
      <c r="BD268" s="183">
        <v>2.7120687057405455</v>
      </c>
      <c r="BE268" s="140">
        <v>0.14710162774556121</v>
      </c>
      <c r="BF268" s="139">
        <v>6729.395811360554</v>
      </c>
      <c r="BG268" s="184">
        <v>17089</v>
      </c>
      <c r="BH268" s="216">
        <v>4054</v>
      </c>
      <c r="BI268" s="216">
        <v>40375</v>
      </c>
      <c r="BJ268" s="216">
        <v>-36321</v>
      </c>
      <c r="BK268" s="216">
        <v>19720</v>
      </c>
      <c r="BL268" s="216">
        <v>18800</v>
      </c>
      <c r="BM268" s="151"/>
      <c r="BO268" s="216">
        <v>-273</v>
      </c>
      <c r="BP268" s="216">
        <v>0</v>
      </c>
      <c r="BQ268" s="216">
        <v>1926</v>
      </c>
      <c r="BR268" s="216">
        <v>2009</v>
      </c>
      <c r="BS268" s="216">
        <v>300</v>
      </c>
      <c r="BT268" s="216">
        <v>32</v>
      </c>
      <c r="BU268" s="216">
        <v>185</v>
      </c>
      <c r="BV268" s="184">
        <v>0</v>
      </c>
      <c r="BW268" s="184">
        <v>0</v>
      </c>
      <c r="BX268" s="183">
        <v>0</v>
      </c>
      <c r="BY268" s="183">
        <v>185</v>
      </c>
      <c r="BZ268" s="183">
        <v>1946</v>
      </c>
      <c r="CA268" s="183">
        <v>2034</v>
      </c>
      <c r="CB268" s="167"/>
      <c r="CC268" s="183">
        <v>-150</v>
      </c>
      <c r="CD268" s="183">
        <v>-3199</v>
      </c>
      <c r="CE268" s="180">
        <v>1529</v>
      </c>
      <c r="CF268" s="139">
        <v>19720</v>
      </c>
      <c r="CG268" s="216">
        <v>18387</v>
      </c>
      <c r="CH268" s="216">
        <v>408</v>
      </c>
      <c r="CI268" s="216">
        <v>925</v>
      </c>
      <c r="CJ268" s="212">
        <v>22</v>
      </c>
      <c r="CK268" s="144"/>
      <c r="CL268" s="130">
        <v>92</v>
      </c>
      <c r="CM268" s="228">
        <v>6603</v>
      </c>
      <c r="CN268" s="138"/>
      <c r="CO268" s="142">
        <v>1.0648484848484849</v>
      </c>
      <c r="CP268" s="142">
        <v>80.655243257420111</v>
      </c>
      <c r="CQ268" s="183">
        <v>-5144.1768892927457</v>
      </c>
      <c r="CR268" s="144"/>
      <c r="CS268"/>
      <c r="CU268" s="232">
        <v>27.691345477288717</v>
      </c>
      <c r="CV268" s="143">
        <v>237.6192639709223</v>
      </c>
      <c r="CW268" s="146">
        <v>12.260961719619765</v>
      </c>
      <c r="CX268" s="143">
        <v>7073.7543540814777</v>
      </c>
      <c r="CY268" s="131">
        <v>17740</v>
      </c>
      <c r="CZ268" s="229">
        <v>4054</v>
      </c>
      <c r="DA268" s="229">
        <v>42252</v>
      </c>
      <c r="DB268" s="216">
        <v>-38198</v>
      </c>
      <c r="DC268" s="229">
        <v>19899</v>
      </c>
      <c r="DD268" s="229">
        <v>21801</v>
      </c>
      <c r="DE268" s="151"/>
      <c r="DG268" s="229">
        <v>-260</v>
      </c>
      <c r="DH268" s="229">
        <v>1</v>
      </c>
      <c r="DI268" s="229">
        <v>3243</v>
      </c>
      <c r="DJ268" s="229">
        <v>2036</v>
      </c>
      <c r="DK268" s="229">
        <v>17</v>
      </c>
      <c r="DL268" s="229">
        <v>248</v>
      </c>
      <c r="DM268" s="229">
        <v>976</v>
      </c>
      <c r="DN268" s="131">
        <v>0</v>
      </c>
      <c r="DO268" s="131">
        <v>0</v>
      </c>
      <c r="DP268" s="130">
        <v>0</v>
      </c>
      <c r="DQ268" s="130">
        <v>976</v>
      </c>
      <c r="DR268" s="130">
        <v>2922</v>
      </c>
      <c r="DS268" s="130">
        <v>3103</v>
      </c>
      <c r="DT268" s="167"/>
      <c r="DU268" s="183">
        <v>-311</v>
      </c>
      <c r="DV268" s="183">
        <v>-3029</v>
      </c>
      <c r="DW268" s="180">
        <v>2161</v>
      </c>
      <c r="DX268" s="130">
        <v>19899</v>
      </c>
      <c r="DY268" s="229">
        <v>18634</v>
      </c>
      <c r="DZ268" s="229">
        <v>422</v>
      </c>
      <c r="EA268" s="229">
        <v>843</v>
      </c>
      <c r="EB268" s="212">
        <v>22</v>
      </c>
      <c r="EC268" s="208"/>
      <c r="ED268" s="183">
        <v>230.308823529411</v>
      </c>
      <c r="EE268" s="3">
        <v>18681</v>
      </c>
      <c r="EF268" s="183">
        <v>18805</v>
      </c>
      <c r="EG268" s="130">
        <v>19995</v>
      </c>
      <c r="EH268" s="130"/>
      <c r="EI268" s="130"/>
      <c r="EJ268" s="130"/>
      <c r="EK268" s="183">
        <v>-2926</v>
      </c>
      <c r="EL268" s="183">
        <v>12</v>
      </c>
      <c r="EM268" s="183">
        <v>396</v>
      </c>
      <c r="EN268" s="226">
        <v>-784</v>
      </c>
      <c r="EO268" s="226">
        <v>16</v>
      </c>
      <c r="EP268" s="226">
        <v>263</v>
      </c>
      <c r="EQ268" s="226">
        <v>-1116</v>
      </c>
      <c r="ER268" s="230">
        <v>0</v>
      </c>
      <c r="ES268" s="230">
        <v>174</v>
      </c>
      <c r="ET268" s="3">
        <v>4500</v>
      </c>
      <c r="EU268" s="211">
        <v>2000</v>
      </c>
      <c r="EV268" s="183">
        <v>3046</v>
      </c>
      <c r="EW268" s="183">
        <v>-1400</v>
      </c>
      <c r="EX268" s="130">
        <v>0</v>
      </c>
      <c r="EY268" s="183">
        <v>2400</v>
      </c>
      <c r="EZ268" s="3">
        <v>33492</v>
      </c>
      <c r="FA268" s="3">
        <v>28400</v>
      </c>
      <c r="FB268" s="3">
        <v>5092</v>
      </c>
      <c r="FC268" s="3">
        <v>6</v>
      </c>
      <c r="FD268" s="226">
        <v>31939</v>
      </c>
      <c r="FE268" s="183">
        <v>28225</v>
      </c>
      <c r="FF268" s="183">
        <v>3714</v>
      </c>
      <c r="FG268" s="183">
        <v>0</v>
      </c>
      <c r="FH268" s="230">
        <v>31310</v>
      </c>
      <c r="FI268" s="130">
        <v>25201</v>
      </c>
      <c r="FJ268" s="130">
        <v>6109</v>
      </c>
      <c r="FK268" s="130">
        <v>22</v>
      </c>
      <c r="FL268" s="29">
        <v>5352.6191180822725</v>
      </c>
      <c r="FM268" s="139">
        <v>5221.6362814524637</v>
      </c>
      <c r="FN268" s="139">
        <v>5091.6250189307893</v>
      </c>
      <c r="FO268" s="172">
        <f t="shared" si="12"/>
        <v>847</v>
      </c>
      <c r="FP268" s="170">
        <f t="shared" si="13"/>
        <v>128.27502650310467</v>
      </c>
      <c r="FR268" s="175"/>
      <c r="FS268" s="195"/>
      <c r="FV268" s="175">
        <v>3191</v>
      </c>
      <c r="FW268" s="2">
        <f t="shared" si="14"/>
        <v>-3191</v>
      </c>
      <c r="FZ268" s="186"/>
      <c r="GA268" s="2"/>
      <c r="GB268" s="2"/>
    </row>
    <row r="269" spans="1:184" ht="13" x14ac:dyDescent="0.3">
      <c r="A269" s="77">
        <v>886</v>
      </c>
      <c r="B269" s="75" t="s">
        <v>260</v>
      </c>
      <c r="C269" s="179">
        <v>13021</v>
      </c>
      <c r="D269" s="138"/>
      <c r="E269" s="142">
        <v>0.78436578171091442</v>
      </c>
      <c r="F269" s="142">
        <v>42.825513178139424</v>
      </c>
      <c r="G269" s="183">
        <v>-1857.5378235158591</v>
      </c>
      <c r="H269" s="144"/>
      <c r="I269" s="186"/>
      <c r="K269" s="210">
        <v>53.344535555854279</v>
      </c>
      <c r="L269" s="143">
        <v>376.62237923354581</v>
      </c>
      <c r="M269" s="146">
        <v>20.781108505352126</v>
      </c>
      <c r="N269" s="143">
        <v>6615.0065279164419</v>
      </c>
      <c r="O269" s="138">
        <v>20694</v>
      </c>
      <c r="P269" s="143">
        <v>8920</v>
      </c>
      <c r="Q269" s="184">
        <v>77529</v>
      </c>
      <c r="R269" s="184">
        <v>-68609</v>
      </c>
      <c r="S269" s="139">
        <v>49203</v>
      </c>
      <c r="T269" s="138">
        <v>21820</v>
      </c>
      <c r="U269" s="151"/>
      <c r="W269" s="183">
        <v>-85</v>
      </c>
      <c r="X269" s="183">
        <v>207</v>
      </c>
      <c r="Y269" s="184">
        <v>2536</v>
      </c>
      <c r="Z269" s="130">
        <v>2835</v>
      </c>
      <c r="AA269" s="131">
        <v>0</v>
      </c>
      <c r="AB269" s="130">
        <v>0</v>
      </c>
      <c r="AC269" s="184">
        <v>-299</v>
      </c>
      <c r="AD269" s="183">
        <v>0</v>
      </c>
      <c r="AE269" s="183">
        <v>0</v>
      </c>
      <c r="AF269" s="183">
        <v>0</v>
      </c>
      <c r="AG269" s="183">
        <v>-299</v>
      </c>
      <c r="AH269" s="183">
        <v>2537</v>
      </c>
      <c r="AI269" s="183">
        <v>2193</v>
      </c>
      <c r="AJ269" s="167"/>
      <c r="AK269" s="183">
        <v>-201</v>
      </c>
      <c r="AL269" s="183">
        <v>-3267</v>
      </c>
      <c r="AM269" s="180">
        <v>-2543</v>
      </c>
      <c r="AN269" s="139">
        <v>49203</v>
      </c>
      <c r="AO269" s="138">
        <v>44406</v>
      </c>
      <c r="AP269" s="184">
        <v>2234</v>
      </c>
      <c r="AQ269" s="138">
        <v>2563</v>
      </c>
      <c r="AR269" s="109">
        <v>21</v>
      </c>
      <c r="AS269" s="144"/>
      <c r="AT269" s="139">
        <v>174</v>
      </c>
      <c r="AU269" s="228">
        <v>12871</v>
      </c>
      <c r="AV269" s="138"/>
      <c r="AW269" s="224">
        <v>0.74607373673107191</v>
      </c>
      <c r="AX269" s="225">
        <v>41.658144543234236</v>
      </c>
      <c r="AY269" s="139">
        <v>-2058.4259187320331</v>
      </c>
      <c r="AZ269" s="144"/>
      <c r="BA269"/>
      <c r="BC269" s="189">
        <v>52.663514472855859</v>
      </c>
      <c r="BD269" s="183">
        <v>361.74345427705697</v>
      </c>
      <c r="BE269" s="140">
        <v>19.072758492980036</v>
      </c>
      <c r="BF269" s="139">
        <v>6922.7721233781367</v>
      </c>
      <c r="BG269" s="184">
        <v>21499</v>
      </c>
      <c r="BH269" s="216">
        <v>11760</v>
      </c>
      <c r="BI269" s="216">
        <v>80470</v>
      </c>
      <c r="BJ269" s="216">
        <v>-68710</v>
      </c>
      <c r="BK269" s="216">
        <v>49707</v>
      </c>
      <c r="BL269" s="216">
        <v>21650</v>
      </c>
      <c r="BM269" s="151"/>
      <c r="BO269" s="216">
        <v>-101</v>
      </c>
      <c r="BP269" s="216">
        <v>108</v>
      </c>
      <c r="BQ269" s="216">
        <v>2654</v>
      </c>
      <c r="BR269" s="216">
        <v>2948</v>
      </c>
      <c r="BS269" s="216">
        <v>0</v>
      </c>
      <c r="BT269" s="216">
        <v>0</v>
      </c>
      <c r="BU269" s="216">
        <v>-294</v>
      </c>
      <c r="BV269" s="183">
        <v>0</v>
      </c>
      <c r="BW269" s="183">
        <v>0</v>
      </c>
      <c r="BX269" s="183">
        <v>0</v>
      </c>
      <c r="BY269" s="183">
        <v>-294</v>
      </c>
      <c r="BZ269" s="183">
        <v>2171</v>
      </c>
      <c r="CA269" s="183">
        <v>310</v>
      </c>
      <c r="CB269" s="167"/>
      <c r="CC269" s="183">
        <v>1669</v>
      </c>
      <c r="CD269" s="183">
        <v>-3130</v>
      </c>
      <c r="CE269" s="180">
        <v>-523</v>
      </c>
      <c r="CF269" s="139">
        <v>49707</v>
      </c>
      <c r="CG269" s="216">
        <v>44741</v>
      </c>
      <c r="CH269" s="216">
        <v>2488</v>
      </c>
      <c r="CI269" s="216">
        <v>2478</v>
      </c>
      <c r="CJ269" s="212">
        <v>21</v>
      </c>
      <c r="CK269" s="144"/>
      <c r="CL269" s="130">
        <v>125</v>
      </c>
      <c r="CM269" s="228">
        <v>12735</v>
      </c>
      <c r="CN269" s="138"/>
      <c r="CO269" s="142">
        <v>2.0333972077744318</v>
      </c>
      <c r="CP269" s="142">
        <v>36.916736677187167</v>
      </c>
      <c r="CQ269" s="183">
        <v>-1748.3313702394973</v>
      </c>
      <c r="CR269" s="144"/>
      <c r="CS269"/>
      <c r="CU269" s="232">
        <v>56.622816816264312</v>
      </c>
      <c r="CV269" s="143">
        <v>553.4354142127994</v>
      </c>
      <c r="CW269" s="146">
        <v>29.335857318797611</v>
      </c>
      <c r="CX269" s="143">
        <v>6885.9049862583433</v>
      </c>
      <c r="CY269" s="131">
        <v>21618</v>
      </c>
      <c r="CZ269" s="229">
        <v>10000</v>
      </c>
      <c r="DA269" s="229">
        <v>80768</v>
      </c>
      <c r="DB269" s="216">
        <v>-70768</v>
      </c>
      <c r="DC269" s="229">
        <v>51646</v>
      </c>
      <c r="DD269" s="229">
        <v>26436</v>
      </c>
      <c r="DE269" s="151"/>
      <c r="DG269" s="229">
        <v>-80</v>
      </c>
      <c r="DH269" s="229">
        <v>85</v>
      </c>
      <c r="DI269" s="229">
        <v>7319</v>
      </c>
      <c r="DJ269" s="229">
        <v>3623</v>
      </c>
      <c r="DK269" s="229">
        <v>0</v>
      </c>
      <c r="DL269" s="229">
        <v>0</v>
      </c>
      <c r="DM269" s="229">
        <v>3696</v>
      </c>
      <c r="DN269" s="130">
        <v>0</v>
      </c>
      <c r="DO269" s="130">
        <v>0</v>
      </c>
      <c r="DP269" s="130">
        <v>0</v>
      </c>
      <c r="DQ269" s="130">
        <v>3696</v>
      </c>
      <c r="DR269" s="130">
        <v>5940</v>
      </c>
      <c r="DS269" s="130">
        <v>6277</v>
      </c>
      <c r="DT269" s="167"/>
      <c r="DU269" s="183">
        <v>272</v>
      </c>
      <c r="DV269" s="183">
        <v>-3544</v>
      </c>
      <c r="DW269" s="180">
        <v>3922</v>
      </c>
      <c r="DX269" s="130">
        <v>51646</v>
      </c>
      <c r="DY269" s="229">
        <v>47045</v>
      </c>
      <c r="DZ269" s="229">
        <v>2211</v>
      </c>
      <c r="EA269" s="229">
        <v>2390</v>
      </c>
      <c r="EB269" s="212">
        <v>21.5</v>
      </c>
      <c r="EC269" s="208"/>
      <c r="ED269" s="183">
        <v>195.05147058823499</v>
      </c>
      <c r="EE269" s="3">
        <v>49996</v>
      </c>
      <c r="EF269" s="183">
        <v>52257</v>
      </c>
      <c r="EG269" s="130">
        <v>52225</v>
      </c>
      <c r="EH269" s="130"/>
      <c r="EI269" s="130"/>
      <c r="EJ269" s="130"/>
      <c r="EK269" s="183">
        <v>-5213</v>
      </c>
      <c r="EL269" s="183">
        <v>10</v>
      </c>
      <c r="EM269" s="183">
        <v>467</v>
      </c>
      <c r="EN269" s="226">
        <v>-5369</v>
      </c>
      <c r="EO269" s="226">
        <v>16</v>
      </c>
      <c r="EP269" s="226">
        <v>4520</v>
      </c>
      <c r="EQ269" s="226">
        <v>-3270</v>
      </c>
      <c r="ER269" s="230">
        <v>33</v>
      </c>
      <c r="ES269" s="230">
        <v>882</v>
      </c>
      <c r="ET269" s="3">
        <v>6000</v>
      </c>
      <c r="EU269" s="211">
        <v>-500</v>
      </c>
      <c r="EV269" s="183">
        <v>6000</v>
      </c>
      <c r="EW269" s="183">
        <v>0</v>
      </c>
      <c r="EX269" s="130">
        <v>3000</v>
      </c>
      <c r="EY269" s="183">
        <v>-1500</v>
      </c>
      <c r="EZ269" s="3">
        <v>22697</v>
      </c>
      <c r="FA269" s="3">
        <v>18066</v>
      </c>
      <c r="FB269" s="3">
        <v>4631</v>
      </c>
      <c r="FC269" s="3">
        <v>1875</v>
      </c>
      <c r="FD269" s="226">
        <v>25567</v>
      </c>
      <c r="FE269" s="183">
        <v>20523</v>
      </c>
      <c r="FF269" s="183">
        <v>5044</v>
      </c>
      <c r="FG269" s="183">
        <v>1848</v>
      </c>
      <c r="FH269" s="230">
        <v>23523</v>
      </c>
      <c r="FI269" s="130">
        <v>19678</v>
      </c>
      <c r="FJ269" s="130">
        <v>3845</v>
      </c>
      <c r="FK269" s="130">
        <v>1837</v>
      </c>
      <c r="FL269" s="29">
        <v>3459.41171952999</v>
      </c>
      <c r="FM269" s="139">
        <v>3709.7350633206433</v>
      </c>
      <c r="FN269" s="139">
        <v>3519.748723989007</v>
      </c>
      <c r="FO269" s="172">
        <f t="shared" si="12"/>
        <v>2188.1395348837209</v>
      </c>
      <c r="FP269" s="170">
        <f t="shared" si="13"/>
        <v>171.82092931949126</v>
      </c>
      <c r="FR269" s="175"/>
      <c r="FS269" s="195"/>
      <c r="FV269" s="175">
        <v>1605</v>
      </c>
      <c r="FW269" s="2">
        <f t="shared" si="14"/>
        <v>-1605</v>
      </c>
      <c r="FZ269" s="186"/>
      <c r="GA269" s="2"/>
      <c r="GB269" s="2"/>
    </row>
    <row r="270" spans="1:184" ht="13" x14ac:dyDescent="0.3">
      <c r="A270" s="77">
        <v>887</v>
      </c>
      <c r="B270" s="75" t="s">
        <v>261</v>
      </c>
      <c r="C270" s="179">
        <v>4792</v>
      </c>
      <c r="D270" s="138"/>
      <c r="E270" s="142">
        <v>1.2854609929078014</v>
      </c>
      <c r="F270" s="142">
        <v>47.196557016883858</v>
      </c>
      <c r="G270" s="183">
        <v>-2377.2954924874789</v>
      </c>
      <c r="H270" s="144"/>
      <c r="I270" s="186"/>
      <c r="K270" s="210">
        <v>49.797224510487297</v>
      </c>
      <c r="L270" s="143">
        <v>680.92654424040063</v>
      </c>
      <c r="M270" s="146">
        <v>35.451555290965921</v>
      </c>
      <c r="N270" s="143">
        <v>7010.6427378964936</v>
      </c>
      <c r="O270" s="138">
        <v>7777</v>
      </c>
      <c r="P270" s="143">
        <v>3967</v>
      </c>
      <c r="Q270" s="184">
        <v>31298</v>
      </c>
      <c r="R270" s="184">
        <v>-27331</v>
      </c>
      <c r="S270" s="139">
        <v>15777</v>
      </c>
      <c r="T270" s="138">
        <v>13483</v>
      </c>
      <c r="U270" s="151"/>
      <c r="W270" s="183">
        <v>-34</v>
      </c>
      <c r="X270" s="183">
        <v>216</v>
      </c>
      <c r="Y270" s="184">
        <v>2111</v>
      </c>
      <c r="Z270" s="130">
        <v>1401</v>
      </c>
      <c r="AA270" s="130">
        <v>0</v>
      </c>
      <c r="AB270" s="130">
        <v>0</v>
      </c>
      <c r="AC270" s="184">
        <v>710</v>
      </c>
      <c r="AD270" s="183">
        <v>-100</v>
      </c>
      <c r="AE270" s="183">
        <v>300</v>
      </c>
      <c r="AF270" s="183">
        <v>0</v>
      </c>
      <c r="AG270" s="183">
        <v>910</v>
      </c>
      <c r="AH270" s="183">
        <v>1228</v>
      </c>
      <c r="AI270" s="183">
        <v>2099</v>
      </c>
      <c r="AJ270" s="167"/>
      <c r="AK270" s="183">
        <v>199</v>
      </c>
      <c r="AL270" s="183">
        <v>-1628</v>
      </c>
      <c r="AM270" s="180">
        <v>1518</v>
      </c>
      <c r="AN270" s="139">
        <v>15777</v>
      </c>
      <c r="AO270" s="138">
        <v>13357</v>
      </c>
      <c r="AP270" s="184">
        <v>815</v>
      </c>
      <c r="AQ270" s="138">
        <v>1605</v>
      </c>
      <c r="AR270" s="109">
        <v>21.75</v>
      </c>
      <c r="AS270" s="144"/>
      <c r="AT270" s="139">
        <v>61</v>
      </c>
      <c r="AU270" s="228">
        <v>4688</v>
      </c>
      <c r="AV270" s="138"/>
      <c r="AW270" s="224">
        <v>0.23392149801944545</v>
      </c>
      <c r="AX270" s="225">
        <v>43.958891347385581</v>
      </c>
      <c r="AY270" s="139">
        <v>-2434.7269624573378</v>
      </c>
      <c r="AZ270" s="144"/>
      <c r="BA270"/>
      <c r="BC270" s="189">
        <v>48.999397630680676</v>
      </c>
      <c r="BD270" s="183">
        <v>574.44539249146749</v>
      </c>
      <c r="BE270" s="140">
        <v>27.553540393563939</v>
      </c>
      <c r="BF270" s="139">
        <v>7609.6416382252555</v>
      </c>
      <c r="BG270" s="184">
        <v>8001</v>
      </c>
      <c r="BH270" s="216">
        <v>5237</v>
      </c>
      <c r="BI270" s="216">
        <v>34018</v>
      </c>
      <c r="BJ270" s="216">
        <v>-28781</v>
      </c>
      <c r="BK270" s="216">
        <v>15517</v>
      </c>
      <c r="BL270" s="216">
        <v>13594</v>
      </c>
      <c r="BM270" s="151"/>
      <c r="BO270" s="216">
        <v>-43</v>
      </c>
      <c r="BP270" s="216">
        <v>61</v>
      </c>
      <c r="BQ270" s="216">
        <v>348</v>
      </c>
      <c r="BR270" s="216">
        <v>1423</v>
      </c>
      <c r="BS270" s="216">
        <v>0</v>
      </c>
      <c r="BT270" s="216">
        <v>0</v>
      </c>
      <c r="BU270" s="216">
        <v>-1075</v>
      </c>
      <c r="BV270" s="183">
        <v>0</v>
      </c>
      <c r="BW270" s="183">
        <v>100</v>
      </c>
      <c r="BX270" s="183">
        <v>0</v>
      </c>
      <c r="BY270" s="183">
        <v>-975</v>
      </c>
      <c r="BZ270" s="183">
        <v>253</v>
      </c>
      <c r="CA270" s="183">
        <v>331</v>
      </c>
      <c r="CB270" s="167"/>
      <c r="CC270" s="183">
        <v>36</v>
      </c>
      <c r="CD270" s="183">
        <v>-1087</v>
      </c>
      <c r="CE270" s="180">
        <v>-135</v>
      </c>
      <c r="CF270" s="139">
        <v>15517</v>
      </c>
      <c r="CG270" s="216">
        <v>12981</v>
      </c>
      <c r="CH270" s="216">
        <v>899</v>
      </c>
      <c r="CI270" s="216">
        <v>1637</v>
      </c>
      <c r="CJ270" s="212">
        <v>22</v>
      </c>
      <c r="CK270" s="144"/>
      <c r="CL270" s="130">
        <v>196</v>
      </c>
      <c r="CM270" s="228">
        <v>4644</v>
      </c>
      <c r="CN270" s="138"/>
      <c r="CO270" s="142">
        <v>1.4806480648064806</v>
      </c>
      <c r="CP270" s="142">
        <v>54.675511508951409</v>
      </c>
      <c r="CQ270" s="183">
        <v>-2491.6020671834626</v>
      </c>
      <c r="CR270" s="144"/>
      <c r="CS270"/>
      <c r="CU270" s="232">
        <v>41.160605286318599</v>
      </c>
      <c r="CV270" s="143">
        <v>826.44272179155905</v>
      </c>
      <c r="CW270" s="146">
        <v>35.996351208983221</v>
      </c>
      <c r="CX270" s="143">
        <v>8380.0602928509907</v>
      </c>
      <c r="CY270" s="131">
        <v>8010</v>
      </c>
      <c r="CZ270" s="229">
        <v>5299</v>
      </c>
      <c r="DA270" s="229">
        <v>35972</v>
      </c>
      <c r="DB270" s="216">
        <v>-30673</v>
      </c>
      <c r="DC270" s="229">
        <v>16067</v>
      </c>
      <c r="DD270" s="229">
        <v>16170</v>
      </c>
      <c r="DE270" s="151"/>
      <c r="DG270" s="229">
        <v>-135</v>
      </c>
      <c r="DH270" s="229">
        <v>48</v>
      </c>
      <c r="DI270" s="229">
        <v>1477</v>
      </c>
      <c r="DJ270" s="229">
        <v>1614</v>
      </c>
      <c r="DK270" s="229">
        <v>0</v>
      </c>
      <c r="DL270" s="229">
        <v>0</v>
      </c>
      <c r="DM270" s="229">
        <v>-137</v>
      </c>
      <c r="DN270" s="130">
        <v>0</v>
      </c>
      <c r="DO270" s="130">
        <v>0</v>
      </c>
      <c r="DP270" s="130">
        <v>0</v>
      </c>
      <c r="DQ270" s="130">
        <v>-137</v>
      </c>
      <c r="DR270" s="130">
        <v>109</v>
      </c>
      <c r="DS270" s="130">
        <v>1457</v>
      </c>
      <c r="DT270" s="167"/>
      <c r="DU270" s="183">
        <v>-4121</v>
      </c>
      <c r="DV270" s="183">
        <v>-943</v>
      </c>
      <c r="DW270" s="180">
        <v>-4</v>
      </c>
      <c r="DX270" s="130">
        <v>16067</v>
      </c>
      <c r="DY270" s="229">
        <v>13571</v>
      </c>
      <c r="DZ270" s="229">
        <v>1025</v>
      </c>
      <c r="EA270" s="229">
        <v>1471</v>
      </c>
      <c r="EB270" s="212">
        <v>22</v>
      </c>
      <c r="EC270" s="208"/>
      <c r="ED270" s="183">
        <v>271.61029411764702</v>
      </c>
      <c r="EE270" s="3">
        <v>19977</v>
      </c>
      <c r="EF270" s="183">
        <v>21307</v>
      </c>
      <c r="EG270" s="130">
        <v>23059</v>
      </c>
      <c r="EH270" s="130"/>
      <c r="EI270" s="130"/>
      <c r="EJ270" s="130"/>
      <c r="EK270" s="183">
        <v>-599</v>
      </c>
      <c r="EL270" s="183">
        <v>0</v>
      </c>
      <c r="EM270" s="183">
        <v>18</v>
      </c>
      <c r="EN270" s="226">
        <v>-511</v>
      </c>
      <c r="EO270" s="226">
        <v>25</v>
      </c>
      <c r="EP270" s="226">
        <v>20</v>
      </c>
      <c r="EQ270" s="226">
        <v>-1539</v>
      </c>
      <c r="ER270" s="230">
        <v>0</v>
      </c>
      <c r="ES270" s="230">
        <v>78</v>
      </c>
      <c r="ET270" s="3">
        <v>1300</v>
      </c>
      <c r="EU270" s="211">
        <v>0</v>
      </c>
      <c r="EV270" s="183">
        <v>0</v>
      </c>
      <c r="EW270" s="183">
        <v>0</v>
      </c>
      <c r="EX270" s="130">
        <v>1500</v>
      </c>
      <c r="EY270" s="183">
        <v>0</v>
      </c>
      <c r="EZ270" s="3">
        <v>13234</v>
      </c>
      <c r="FA270" s="3">
        <v>12100</v>
      </c>
      <c r="FB270" s="3">
        <v>1134</v>
      </c>
      <c r="FC270" s="3">
        <v>572</v>
      </c>
      <c r="FD270" s="226">
        <v>12147</v>
      </c>
      <c r="FE270" s="183">
        <v>11204</v>
      </c>
      <c r="FF270" s="183">
        <v>943</v>
      </c>
      <c r="FG270" s="183">
        <v>564</v>
      </c>
      <c r="FH270" s="230">
        <v>12704</v>
      </c>
      <c r="FI270" s="130">
        <v>11597</v>
      </c>
      <c r="FJ270" s="130">
        <v>1107</v>
      </c>
      <c r="FK270" s="130">
        <v>735</v>
      </c>
      <c r="FL270" s="29">
        <v>4242.070116861436</v>
      </c>
      <c r="FM270" s="139">
        <v>4186.860068259386</v>
      </c>
      <c r="FN270" s="139">
        <v>4444.2291128337638</v>
      </c>
      <c r="FO270" s="172">
        <f t="shared" si="12"/>
        <v>616.86363636363637</v>
      </c>
      <c r="FP270" s="170">
        <f t="shared" si="13"/>
        <v>132.83024038837993</v>
      </c>
      <c r="FR270" s="175"/>
      <c r="FS270" s="195"/>
      <c r="FV270" s="175">
        <v>1550</v>
      </c>
      <c r="FW270" s="2">
        <f t="shared" si="14"/>
        <v>-1550</v>
      </c>
      <c r="FZ270" s="186"/>
      <c r="GA270" s="2"/>
      <c r="GB270" s="2"/>
    </row>
    <row r="271" spans="1:184" ht="13" x14ac:dyDescent="0.3">
      <c r="A271" s="77">
        <v>889</v>
      </c>
      <c r="B271" s="75" t="s">
        <v>262</v>
      </c>
      <c r="C271" s="179">
        <v>2702</v>
      </c>
      <c r="D271" s="138"/>
      <c r="E271" s="142">
        <v>1.2663125948406677</v>
      </c>
      <c r="F271" s="142">
        <v>45.073987538940813</v>
      </c>
      <c r="G271" s="183">
        <v>-2868.9859363434493</v>
      </c>
      <c r="H271" s="144"/>
      <c r="I271" s="186"/>
      <c r="K271" s="210">
        <v>56.852404160907831</v>
      </c>
      <c r="L271" s="143">
        <v>793.11621021465589</v>
      </c>
      <c r="M271" s="146">
        <v>29.16461595824012</v>
      </c>
      <c r="N271" s="143">
        <v>9925.9807549962989</v>
      </c>
      <c r="O271" s="138">
        <v>7278</v>
      </c>
      <c r="P271" s="143">
        <v>4266</v>
      </c>
      <c r="Q271" s="184">
        <v>24063</v>
      </c>
      <c r="R271" s="184">
        <v>-19797</v>
      </c>
      <c r="S271" s="139">
        <v>9874</v>
      </c>
      <c r="T271" s="138">
        <v>11540</v>
      </c>
      <c r="U271" s="151"/>
      <c r="W271" s="183">
        <v>-48</v>
      </c>
      <c r="X271" s="183">
        <v>-2</v>
      </c>
      <c r="Y271" s="184">
        <v>1567</v>
      </c>
      <c r="Z271" s="130">
        <v>1053</v>
      </c>
      <c r="AA271" s="131">
        <v>0</v>
      </c>
      <c r="AB271" s="130">
        <v>0</v>
      </c>
      <c r="AC271" s="184">
        <v>514</v>
      </c>
      <c r="AD271" s="184">
        <v>11</v>
      </c>
      <c r="AE271" s="183">
        <v>0</v>
      </c>
      <c r="AF271" s="184">
        <v>-500</v>
      </c>
      <c r="AG271" s="183">
        <v>25</v>
      </c>
      <c r="AH271" s="183">
        <v>5089</v>
      </c>
      <c r="AI271" s="183">
        <v>1039</v>
      </c>
      <c r="AJ271" s="167"/>
      <c r="AK271" s="183">
        <v>157</v>
      </c>
      <c r="AL271" s="183">
        <v>-1216</v>
      </c>
      <c r="AM271" s="180">
        <v>654</v>
      </c>
      <c r="AN271" s="139">
        <v>9874</v>
      </c>
      <c r="AO271" s="138">
        <v>6335</v>
      </c>
      <c r="AP271" s="184">
        <v>856</v>
      </c>
      <c r="AQ271" s="138">
        <v>2683</v>
      </c>
      <c r="AR271" s="109">
        <v>20.5</v>
      </c>
      <c r="AS271" s="144"/>
      <c r="AT271" s="139">
        <v>26</v>
      </c>
      <c r="AU271" s="228">
        <v>2676</v>
      </c>
      <c r="AV271" s="138"/>
      <c r="AW271" s="224">
        <v>0.99449252557041701</v>
      </c>
      <c r="AX271" s="225">
        <v>48.673021397777163</v>
      </c>
      <c r="AY271" s="139">
        <v>-3695.4409566517188</v>
      </c>
      <c r="AZ271" s="144"/>
      <c r="BA271"/>
      <c r="BC271" s="189">
        <v>55.6537973791743</v>
      </c>
      <c r="BD271" s="183">
        <v>546.711509715994</v>
      </c>
      <c r="BE271" s="140">
        <v>18.484371213956869</v>
      </c>
      <c r="BF271" s="139">
        <v>10795.59043348281</v>
      </c>
      <c r="BG271" s="184">
        <v>6854</v>
      </c>
      <c r="BH271" s="216">
        <v>3459</v>
      </c>
      <c r="BI271" s="216">
        <v>23911</v>
      </c>
      <c r="BJ271" s="216">
        <v>-20452</v>
      </c>
      <c r="BK271" s="216">
        <v>10269</v>
      </c>
      <c r="BL271" s="216">
        <v>11555</v>
      </c>
      <c r="BM271" s="151"/>
      <c r="BO271" s="216">
        <v>-61</v>
      </c>
      <c r="BP271" s="216">
        <v>10</v>
      </c>
      <c r="BQ271" s="216">
        <v>1321</v>
      </c>
      <c r="BR271" s="216">
        <v>1153</v>
      </c>
      <c r="BS271" s="216">
        <v>0</v>
      </c>
      <c r="BT271" s="216">
        <v>0</v>
      </c>
      <c r="BU271" s="216">
        <v>168</v>
      </c>
      <c r="BV271" s="184">
        <v>21</v>
      </c>
      <c r="BW271" s="183">
        <v>0</v>
      </c>
      <c r="BX271" s="184">
        <v>0</v>
      </c>
      <c r="BY271" s="183">
        <v>189</v>
      </c>
      <c r="BZ271" s="183">
        <v>5278</v>
      </c>
      <c r="CA271" s="183">
        <v>1246</v>
      </c>
      <c r="CB271" s="167"/>
      <c r="CC271" s="183">
        <v>726</v>
      </c>
      <c r="CD271" s="183">
        <v>-1151</v>
      </c>
      <c r="CE271" s="180">
        <v>-2242</v>
      </c>
      <c r="CF271" s="139">
        <v>10269</v>
      </c>
      <c r="CG271" s="216">
        <v>6577</v>
      </c>
      <c r="CH271" s="216">
        <v>883</v>
      </c>
      <c r="CI271" s="216">
        <v>2809</v>
      </c>
      <c r="CJ271" s="212">
        <v>20.5</v>
      </c>
      <c r="CK271" s="144"/>
      <c r="CL271" s="130">
        <v>36</v>
      </c>
      <c r="CM271" s="228">
        <v>2619</v>
      </c>
      <c r="CN271" s="138"/>
      <c r="CO271" s="142">
        <v>1.607056936647955</v>
      </c>
      <c r="CP271" s="142">
        <v>52.574318112166715</v>
      </c>
      <c r="CQ271" s="183">
        <v>-3877.8159602901869</v>
      </c>
      <c r="CR271" s="144"/>
      <c r="CS271"/>
      <c r="CU271" s="232">
        <v>54.151624548736464</v>
      </c>
      <c r="CV271" s="143">
        <v>981.67239404352802</v>
      </c>
      <c r="CW271" s="146">
        <v>33.740157480314963</v>
      </c>
      <c r="CX271" s="143">
        <v>10619.702176403207</v>
      </c>
      <c r="CY271" s="131">
        <v>6718</v>
      </c>
      <c r="CZ271" s="229">
        <v>3202</v>
      </c>
      <c r="DA271" s="229">
        <v>24154</v>
      </c>
      <c r="DB271" s="216">
        <v>-20952</v>
      </c>
      <c r="DC271" s="229">
        <v>10052</v>
      </c>
      <c r="DD271" s="229">
        <v>12850</v>
      </c>
      <c r="DE271" s="151"/>
      <c r="DG271" s="229">
        <v>-52</v>
      </c>
      <c r="DH271" s="229">
        <v>6</v>
      </c>
      <c r="DI271" s="229">
        <v>1904</v>
      </c>
      <c r="DJ271" s="229">
        <v>1202</v>
      </c>
      <c r="DK271" s="229">
        <v>0</v>
      </c>
      <c r="DL271" s="229">
        <v>0</v>
      </c>
      <c r="DM271" s="229">
        <v>702</v>
      </c>
      <c r="DN271" s="131">
        <v>28</v>
      </c>
      <c r="DO271" s="130">
        <v>-650</v>
      </c>
      <c r="DP271" s="131">
        <v>26</v>
      </c>
      <c r="DQ271" s="130">
        <v>106</v>
      </c>
      <c r="DR271" s="130">
        <v>5384</v>
      </c>
      <c r="DS271" s="130">
        <v>1783</v>
      </c>
      <c r="DT271" s="167"/>
      <c r="DU271" s="183">
        <v>-44</v>
      </c>
      <c r="DV271" s="183">
        <v>-1147</v>
      </c>
      <c r="DW271" s="180">
        <v>-225</v>
      </c>
      <c r="DX271" s="130">
        <v>10052</v>
      </c>
      <c r="DY271" s="229">
        <v>6544</v>
      </c>
      <c r="DZ271" s="229">
        <v>977</v>
      </c>
      <c r="EA271" s="229">
        <v>2531</v>
      </c>
      <c r="EB271" s="212">
        <v>20.5</v>
      </c>
      <c r="EC271" s="208"/>
      <c r="ED271" s="183">
        <v>116.47794117647</v>
      </c>
      <c r="EE271" s="3">
        <v>14564</v>
      </c>
      <c r="EF271" s="183">
        <v>14932</v>
      </c>
      <c r="EG271" s="130">
        <v>15350</v>
      </c>
      <c r="EH271" s="130"/>
      <c r="EI271" s="130"/>
      <c r="EJ271" s="130"/>
      <c r="EK271" s="183">
        <v>-1412</v>
      </c>
      <c r="EL271" s="183">
        <v>44</v>
      </c>
      <c r="EM271" s="183">
        <v>983</v>
      </c>
      <c r="EN271" s="226">
        <v>-3707</v>
      </c>
      <c r="EO271" s="226">
        <v>48</v>
      </c>
      <c r="EP271" s="226">
        <v>171</v>
      </c>
      <c r="EQ271" s="226">
        <v>-2392</v>
      </c>
      <c r="ER271" s="230">
        <v>258</v>
      </c>
      <c r="ES271" s="230">
        <v>126</v>
      </c>
      <c r="ET271" s="3">
        <v>1000</v>
      </c>
      <c r="EU271" s="211">
        <v>0</v>
      </c>
      <c r="EV271" s="183">
        <v>2000</v>
      </c>
      <c r="EW271" s="183">
        <v>0</v>
      </c>
      <c r="EX271" s="130">
        <v>1995</v>
      </c>
      <c r="EY271" s="183">
        <v>0</v>
      </c>
      <c r="EZ271" s="3">
        <v>9172</v>
      </c>
      <c r="FA271" s="3">
        <v>8088</v>
      </c>
      <c r="FB271" s="3">
        <v>1084</v>
      </c>
      <c r="FC271" s="3">
        <v>2566</v>
      </c>
      <c r="FD271" s="226">
        <v>10022</v>
      </c>
      <c r="FE271" s="183">
        <v>8924</v>
      </c>
      <c r="FF271" s="183">
        <v>1098</v>
      </c>
      <c r="FG271" s="183">
        <v>2457</v>
      </c>
      <c r="FH271" s="230">
        <v>10869</v>
      </c>
      <c r="FI271" s="130">
        <v>9738</v>
      </c>
      <c r="FJ271" s="130">
        <v>1131</v>
      </c>
      <c r="FK271" s="130">
        <v>2462</v>
      </c>
      <c r="FL271" s="29">
        <v>4682.0873427091046</v>
      </c>
      <c r="FM271" s="139">
        <v>5284.005979073243</v>
      </c>
      <c r="FN271" s="139">
        <v>6533.7915234822449</v>
      </c>
      <c r="FO271" s="172">
        <f t="shared" si="12"/>
        <v>319.21951219512198</v>
      </c>
      <c r="FP271" s="170">
        <f t="shared" si="13"/>
        <v>121.88602985686215</v>
      </c>
      <c r="FR271" s="175"/>
      <c r="FS271" s="195"/>
      <c r="FV271" s="175">
        <v>1016</v>
      </c>
      <c r="FW271" s="2">
        <f t="shared" si="14"/>
        <v>-1016</v>
      </c>
      <c r="FZ271" s="186"/>
      <c r="GA271" s="2"/>
      <c r="GB271" s="2"/>
    </row>
    <row r="272" spans="1:184" ht="13" x14ac:dyDescent="0.3">
      <c r="A272" s="77">
        <v>890</v>
      </c>
      <c r="B272" s="75" t="s">
        <v>263</v>
      </c>
      <c r="C272" s="179">
        <v>1232</v>
      </c>
      <c r="D272" s="138"/>
      <c r="E272" s="142">
        <v>1.8972895863052781</v>
      </c>
      <c r="F272" s="142">
        <v>43.488484680821635</v>
      </c>
      <c r="G272" s="183">
        <v>-2353.8961038961038</v>
      </c>
      <c r="H272" s="144"/>
      <c r="I272" s="186"/>
      <c r="K272" s="210">
        <v>50.576968364863802</v>
      </c>
      <c r="L272" s="143">
        <v>2142.0454545454545</v>
      </c>
      <c r="M272" s="146">
        <v>64.503783566597477</v>
      </c>
      <c r="N272" s="143">
        <v>12120.941558441558</v>
      </c>
      <c r="O272" s="138">
        <v>6993</v>
      </c>
      <c r="P272" s="143">
        <v>3013</v>
      </c>
      <c r="Q272" s="184">
        <v>13134</v>
      </c>
      <c r="R272" s="184">
        <v>-10121</v>
      </c>
      <c r="S272" s="139">
        <v>4550</v>
      </c>
      <c r="T272" s="138">
        <v>6896</v>
      </c>
      <c r="U272" s="151"/>
      <c r="W272" s="183">
        <v>-45</v>
      </c>
      <c r="X272" s="183">
        <v>3</v>
      </c>
      <c r="Y272" s="184">
        <v>1283</v>
      </c>
      <c r="Z272" s="130">
        <v>566</v>
      </c>
      <c r="AA272" s="130">
        <v>3</v>
      </c>
      <c r="AB272" s="130">
        <v>0</v>
      </c>
      <c r="AC272" s="184">
        <v>720</v>
      </c>
      <c r="AD272" s="183">
        <v>0</v>
      </c>
      <c r="AE272" s="183">
        <v>0</v>
      </c>
      <c r="AF272" s="183">
        <v>0</v>
      </c>
      <c r="AG272" s="183">
        <v>720</v>
      </c>
      <c r="AH272" s="183">
        <v>3877</v>
      </c>
      <c r="AI272" s="183">
        <v>1286</v>
      </c>
      <c r="AJ272" s="167"/>
      <c r="AK272" s="183">
        <v>-78</v>
      </c>
      <c r="AL272" s="183">
        <v>-654</v>
      </c>
      <c r="AM272" s="180">
        <v>691</v>
      </c>
      <c r="AN272" s="139">
        <v>4550</v>
      </c>
      <c r="AO272" s="138">
        <v>3780</v>
      </c>
      <c r="AP272" s="184">
        <v>149</v>
      </c>
      <c r="AQ272" s="138">
        <v>621</v>
      </c>
      <c r="AR272" s="109">
        <v>21</v>
      </c>
      <c r="AS272" s="144"/>
      <c r="AT272" s="139">
        <v>4</v>
      </c>
      <c r="AU272" s="228">
        <v>1212</v>
      </c>
      <c r="AV272" s="138"/>
      <c r="AW272" s="224">
        <v>0.83690006233118641</v>
      </c>
      <c r="AX272" s="225">
        <v>68.300479488545548</v>
      </c>
      <c r="AY272" s="139">
        <v>-3572.6072607260726</v>
      </c>
      <c r="AZ272" s="144"/>
      <c r="BA272"/>
      <c r="BC272" s="189">
        <v>40.628254078444982</v>
      </c>
      <c r="BD272" s="183">
        <v>3985.1485148514853</v>
      </c>
      <c r="BE272" s="140">
        <v>99.900833002776679</v>
      </c>
      <c r="BF272" s="139">
        <v>14560.231023102309</v>
      </c>
      <c r="BG272" s="184">
        <v>7332</v>
      </c>
      <c r="BH272" s="216">
        <v>3233</v>
      </c>
      <c r="BI272" s="216">
        <v>14019</v>
      </c>
      <c r="BJ272" s="216">
        <v>-10786</v>
      </c>
      <c r="BK272" s="216">
        <v>4514</v>
      </c>
      <c r="BL272" s="216">
        <v>7269</v>
      </c>
      <c r="BM272" s="151"/>
      <c r="BO272" s="216">
        <v>-48</v>
      </c>
      <c r="BP272" s="216">
        <v>9</v>
      </c>
      <c r="BQ272" s="216">
        <v>958</v>
      </c>
      <c r="BR272" s="216">
        <v>650</v>
      </c>
      <c r="BS272" s="216">
        <v>271</v>
      </c>
      <c r="BT272" s="216">
        <v>0</v>
      </c>
      <c r="BU272" s="216">
        <v>579</v>
      </c>
      <c r="BV272" s="183">
        <v>0</v>
      </c>
      <c r="BW272" s="183">
        <v>0</v>
      </c>
      <c r="BX272" s="183">
        <v>0</v>
      </c>
      <c r="BY272" s="183">
        <v>579</v>
      </c>
      <c r="BZ272" s="183">
        <v>4457</v>
      </c>
      <c r="CA272" s="183">
        <v>1229</v>
      </c>
      <c r="CB272" s="167"/>
      <c r="CC272" s="183">
        <v>-347</v>
      </c>
      <c r="CD272" s="183">
        <v>-936</v>
      </c>
      <c r="CE272" s="180">
        <v>-1404</v>
      </c>
      <c r="CF272" s="139">
        <v>4514</v>
      </c>
      <c r="CG272" s="216">
        <v>3705</v>
      </c>
      <c r="CH272" s="216">
        <v>163</v>
      </c>
      <c r="CI272" s="216">
        <v>646</v>
      </c>
      <c r="CJ272" s="212">
        <v>21</v>
      </c>
      <c r="CK272" s="144"/>
      <c r="CL272" s="130">
        <v>10</v>
      </c>
      <c r="CM272" s="228">
        <v>1219</v>
      </c>
      <c r="CN272" s="138"/>
      <c r="CO272" s="142">
        <v>1.0950040950040949</v>
      </c>
      <c r="CP272" s="142">
        <v>88.139991139801282</v>
      </c>
      <c r="CQ272" s="183">
        <v>-7720.262510254307</v>
      </c>
      <c r="CR272" s="144"/>
      <c r="CS272"/>
      <c r="CU272" s="232">
        <v>35.398024943205527</v>
      </c>
      <c r="CV272" s="143">
        <v>3033.6341263330601</v>
      </c>
      <c r="CW272" s="146">
        <v>61.039659928548815</v>
      </c>
      <c r="CX272" s="143">
        <v>18140.278917145202</v>
      </c>
      <c r="CY272" s="131">
        <v>7817</v>
      </c>
      <c r="CZ272" s="229">
        <v>3338</v>
      </c>
      <c r="DA272" s="229">
        <v>14471</v>
      </c>
      <c r="DB272" s="216">
        <v>-11133</v>
      </c>
      <c r="DC272" s="229">
        <v>4748</v>
      </c>
      <c r="DD272" s="229">
        <v>7715</v>
      </c>
      <c r="DE272" s="151"/>
      <c r="DG272" s="229">
        <v>-78</v>
      </c>
      <c r="DH272" s="229">
        <v>6</v>
      </c>
      <c r="DI272" s="229">
        <v>1258</v>
      </c>
      <c r="DJ272" s="229">
        <v>645</v>
      </c>
      <c r="DK272" s="229">
        <v>0</v>
      </c>
      <c r="DL272" s="229">
        <v>0</v>
      </c>
      <c r="DM272" s="229">
        <v>613</v>
      </c>
      <c r="DN272" s="130">
        <v>11</v>
      </c>
      <c r="DO272" s="130">
        <v>0</v>
      </c>
      <c r="DP272" s="130">
        <v>0</v>
      </c>
      <c r="DQ272" s="130">
        <v>624</v>
      </c>
      <c r="DR272" s="130">
        <v>5080</v>
      </c>
      <c r="DS272" s="130">
        <v>1258</v>
      </c>
      <c r="DT272" s="167"/>
      <c r="DU272" s="183">
        <v>278</v>
      </c>
      <c r="DV272" s="183">
        <v>-1142</v>
      </c>
      <c r="DW272" s="180">
        <v>-5156</v>
      </c>
      <c r="DX272" s="130">
        <v>4748</v>
      </c>
      <c r="DY272" s="229">
        <v>3999</v>
      </c>
      <c r="DZ272" s="229">
        <v>154</v>
      </c>
      <c r="EA272" s="229">
        <v>595</v>
      </c>
      <c r="EB272" s="212">
        <v>21</v>
      </c>
      <c r="EC272" s="208"/>
      <c r="ED272" s="183">
        <v>28.838235294117698</v>
      </c>
      <c r="EE272" s="3">
        <v>4738</v>
      </c>
      <c r="EF272" s="183">
        <v>5196</v>
      </c>
      <c r="EG272" s="130">
        <v>5113</v>
      </c>
      <c r="EH272" s="130"/>
      <c r="EI272" s="130"/>
      <c r="EJ272" s="130"/>
      <c r="EK272" s="183">
        <v>-597</v>
      </c>
      <c r="EL272" s="183">
        <v>0</v>
      </c>
      <c r="EM272" s="183">
        <v>2</v>
      </c>
      <c r="EN272" s="226">
        <v>-2639</v>
      </c>
      <c r="EO272" s="226">
        <v>0</v>
      </c>
      <c r="EP272" s="226">
        <v>6</v>
      </c>
      <c r="EQ272" s="226">
        <v>-6414</v>
      </c>
      <c r="ER272" s="230">
        <v>0</v>
      </c>
      <c r="ES272" s="230">
        <v>0</v>
      </c>
      <c r="ET272" s="3">
        <v>0</v>
      </c>
      <c r="EU272" s="211">
        <v>0</v>
      </c>
      <c r="EV272" s="183">
        <v>5000</v>
      </c>
      <c r="EW272" s="183">
        <v>0</v>
      </c>
      <c r="EX272" s="130">
        <v>5000</v>
      </c>
      <c r="EY272" s="183">
        <v>0</v>
      </c>
      <c r="EZ272" s="3">
        <v>4452</v>
      </c>
      <c r="FA272" s="3">
        <v>3773</v>
      </c>
      <c r="FB272" s="3">
        <v>679</v>
      </c>
      <c r="FC272" s="3">
        <v>1504</v>
      </c>
      <c r="FD272" s="226">
        <v>8517</v>
      </c>
      <c r="FE272" s="183">
        <v>7375</v>
      </c>
      <c r="FF272" s="183">
        <v>1142</v>
      </c>
      <c r="FG272" s="183">
        <v>1477</v>
      </c>
      <c r="FH272" s="230">
        <v>12374</v>
      </c>
      <c r="FI272" s="130">
        <v>11232</v>
      </c>
      <c r="FJ272" s="130">
        <v>1142</v>
      </c>
      <c r="FK272" s="130">
        <v>1449</v>
      </c>
      <c r="FL272" s="29">
        <v>6317.3701298701299</v>
      </c>
      <c r="FM272" s="139">
        <v>8646.0396039603966</v>
      </c>
      <c r="FN272" s="139">
        <v>11853.978671041838</v>
      </c>
      <c r="FO272" s="172">
        <f t="shared" si="12"/>
        <v>190.42857142857142</v>
      </c>
      <c r="FP272" s="170">
        <f t="shared" si="13"/>
        <v>156.21703972811437</v>
      </c>
      <c r="FR272" s="175"/>
      <c r="FS272" s="195"/>
      <c r="FV272" s="175">
        <v>563</v>
      </c>
      <c r="FW272" s="2">
        <f t="shared" si="14"/>
        <v>-563</v>
      </c>
      <c r="FZ272" s="186"/>
      <c r="GA272" s="2"/>
      <c r="GB272" s="2"/>
    </row>
    <row r="273" spans="1:184" ht="13" x14ac:dyDescent="0.3">
      <c r="A273" s="77">
        <v>892</v>
      </c>
      <c r="B273" s="75" t="s">
        <v>264</v>
      </c>
      <c r="C273" s="179">
        <v>3783</v>
      </c>
      <c r="D273" s="138"/>
      <c r="E273" s="142">
        <v>-7.5927308937017671E-2</v>
      </c>
      <c r="F273" s="142">
        <v>83.122771492714705</v>
      </c>
      <c r="G273" s="183">
        <v>-3749.1408934707902</v>
      </c>
      <c r="H273" s="144"/>
      <c r="I273" s="186"/>
      <c r="K273" s="210">
        <v>40.946727073894706</v>
      </c>
      <c r="L273" s="143">
        <v>972.24425059476607</v>
      </c>
      <c r="M273" s="146">
        <v>47.043136980060972</v>
      </c>
      <c r="N273" s="143">
        <v>7543.4840074015328</v>
      </c>
      <c r="O273" s="138">
        <v>9589</v>
      </c>
      <c r="P273" s="143">
        <v>3012</v>
      </c>
      <c r="Q273" s="184">
        <v>23066</v>
      </c>
      <c r="R273" s="184">
        <v>-20054</v>
      </c>
      <c r="S273" s="139">
        <v>10655</v>
      </c>
      <c r="T273" s="138">
        <v>9070</v>
      </c>
      <c r="U273" s="151"/>
      <c r="W273" s="183">
        <v>-60</v>
      </c>
      <c r="X273" s="183">
        <v>24</v>
      </c>
      <c r="Y273" s="184">
        <v>-365</v>
      </c>
      <c r="Z273" s="130">
        <v>1282</v>
      </c>
      <c r="AA273" s="130">
        <v>0</v>
      </c>
      <c r="AB273" s="130">
        <v>0</v>
      </c>
      <c r="AC273" s="184">
        <v>-1647</v>
      </c>
      <c r="AD273" s="183">
        <v>15</v>
      </c>
      <c r="AE273" s="183">
        <v>0</v>
      </c>
      <c r="AF273" s="183">
        <v>0</v>
      </c>
      <c r="AG273" s="183">
        <v>-1632</v>
      </c>
      <c r="AH273" s="183">
        <v>1992</v>
      </c>
      <c r="AI273" s="183">
        <v>-428</v>
      </c>
      <c r="AJ273" s="167"/>
      <c r="AK273" s="183">
        <v>485</v>
      </c>
      <c r="AL273" s="183">
        <v>-3957</v>
      </c>
      <c r="AM273" s="180">
        <v>-1364</v>
      </c>
      <c r="AN273" s="139">
        <v>10655</v>
      </c>
      <c r="AO273" s="138">
        <v>9494</v>
      </c>
      <c r="AP273" s="184">
        <v>532</v>
      </c>
      <c r="AQ273" s="138">
        <v>629</v>
      </c>
      <c r="AR273" s="109">
        <v>20.5</v>
      </c>
      <c r="AS273" s="144"/>
      <c r="AT273" s="139">
        <v>273</v>
      </c>
      <c r="AU273" s="228">
        <v>3681</v>
      </c>
      <c r="AV273" s="138"/>
      <c r="AW273" s="224">
        <v>5.0389665848190456E-2</v>
      </c>
      <c r="AX273" s="225">
        <v>83.781491220629405</v>
      </c>
      <c r="AY273" s="139">
        <v>-4108.3944580277102</v>
      </c>
      <c r="AZ273" s="144"/>
      <c r="BA273"/>
      <c r="BC273" s="189">
        <v>37.323184268950207</v>
      </c>
      <c r="BD273" s="183">
        <v>1042.6514534093997</v>
      </c>
      <c r="BE273" s="140">
        <v>55.585667804142531</v>
      </c>
      <c r="BF273" s="139">
        <v>6846.5091007878291</v>
      </c>
      <c r="BG273" s="184">
        <v>10185</v>
      </c>
      <c r="BH273" s="216">
        <v>2928</v>
      </c>
      <c r="BI273" s="216">
        <v>23760</v>
      </c>
      <c r="BJ273" s="216">
        <v>-20823</v>
      </c>
      <c r="BK273" s="216">
        <v>11356</v>
      </c>
      <c r="BL273" s="216">
        <v>9294</v>
      </c>
      <c r="BM273" s="151"/>
      <c r="BO273" s="216">
        <v>-99</v>
      </c>
      <c r="BP273" s="216">
        <v>291</v>
      </c>
      <c r="BQ273" s="216">
        <v>19</v>
      </c>
      <c r="BR273" s="216">
        <v>1355</v>
      </c>
      <c r="BS273" s="216">
        <v>0</v>
      </c>
      <c r="BT273" s="216">
        <v>0</v>
      </c>
      <c r="BU273" s="216">
        <v>-1336</v>
      </c>
      <c r="BV273" s="183">
        <v>15</v>
      </c>
      <c r="BW273" s="183">
        <v>0</v>
      </c>
      <c r="BX273" s="183">
        <v>0</v>
      </c>
      <c r="BY273" s="183">
        <v>-1321</v>
      </c>
      <c r="BZ273" s="183">
        <v>670</v>
      </c>
      <c r="CA273" s="183">
        <v>3</v>
      </c>
      <c r="CB273" s="167"/>
      <c r="CC273" s="183">
        <v>229</v>
      </c>
      <c r="CD273" s="183">
        <v>-459</v>
      </c>
      <c r="CE273" s="180">
        <v>-763</v>
      </c>
      <c r="CF273" s="139">
        <v>11356</v>
      </c>
      <c r="CG273" s="216">
        <v>10124</v>
      </c>
      <c r="CH273" s="216">
        <v>573</v>
      </c>
      <c r="CI273" s="216">
        <v>659</v>
      </c>
      <c r="CJ273" s="212">
        <v>21.5</v>
      </c>
      <c r="CK273" s="144"/>
      <c r="CL273" s="130">
        <v>229</v>
      </c>
      <c r="CM273" s="228">
        <v>3646</v>
      </c>
      <c r="CN273" s="138"/>
      <c r="CO273" s="142">
        <v>0.73880827415869099</v>
      </c>
      <c r="CP273" s="142">
        <v>77.985425481899384</v>
      </c>
      <c r="CQ273" s="183">
        <v>-3617.1146461876028</v>
      </c>
      <c r="CR273" s="144"/>
      <c r="CS273"/>
      <c r="CU273" s="232">
        <v>38.148044605970242</v>
      </c>
      <c r="CV273" s="143">
        <v>1641.5249588590236</v>
      </c>
      <c r="CW273" s="146">
        <v>81.239308293045738</v>
      </c>
      <c r="CX273" s="143">
        <v>7375.2057048820625</v>
      </c>
      <c r="CY273" s="131">
        <v>10010</v>
      </c>
      <c r="CZ273" s="229">
        <v>2796</v>
      </c>
      <c r="DA273" s="229">
        <v>23187</v>
      </c>
      <c r="DB273" s="216">
        <v>-20391</v>
      </c>
      <c r="DC273" s="229">
        <v>11533</v>
      </c>
      <c r="DD273" s="229">
        <v>11195</v>
      </c>
      <c r="DE273" s="151"/>
      <c r="DG273" s="229">
        <v>-126</v>
      </c>
      <c r="DH273" s="229">
        <v>56</v>
      </c>
      <c r="DI273" s="229">
        <v>2267</v>
      </c>
      <c r="DJ273" s="229">
        <v>1755</v>
      </c>
      <c r="DK273" s="229">
        <v>0</v>
      </c>
      <c r="DL273" s="229">
        <v>0</v>
      </c>
      <c r="DM273" s="229">
        <v>512</v>
      </c>
      <c r="DN273" s="130">
        <v>15</v>
      </c>
      <c r="DO273" s="130">
        <v>0</v>
      </c>
      <c r="DP273" s="130">
        <v>0</v>
      </c>
      <c r="DQ273" s="130">
        <v>527</v>
      </c>
      <c r="DR273" s="130">
        <v>1198</v>
      </c>
      <c r="DS273" s="130">
        <v>2226</v>
      </c>
      <c r="DT273" s="167"/>
      <c r="DU273" s="183">
        <v>62</v>
      </c>
      <c r="DV273" s="183">
        <v>-3113</v>
      </c>
      <c r="DW273" s="180">
        <v>1925</v>
      </c>
      <c r="DX273" s="130">
        <v>11533</v>
      </c>
      <c r="DY273" s="229">
        <v>10235</v>
      </c>
      <c r="DZ273" s="229">
        <v>650</v>
      </c>
      <c r="EA273" s="229">
        <v>648</v>
      </c>
      <c r="EB273" s="212">
        <v>21.5</v>
      </c>
      <c r="EC273" s="208"/>
      <c r="ED273" s="183">
        <v>175.91176470588201</v>
      </c>
      <c r="EE273" s="3">
        <v>10363</v>
      </c>
      <c r="EF273" s="183">
        <v>10551</v>
      </c>
      <c r="EG273" s="130">
        <v>9968</v>
      </c>
      <c r="EH273" s="130"/>
      <c r="EI273" s="130"/>
      <c r="EJ273" s="130"/>
      <c r="EK273" s="183">
        <v>-1102</v>
      </c>
      <c r="EL273" s="183">
        <v>38</v>
      </c>
      <c r="EM273" s="183">
        <v>128</v>
      </c>
      <c r="EN273" s="226">
        <v>-790</v>
      </c>
      <c r="EO273" s="226">
        <v>0</v>
      </c>
      <c r="EP273" s="226">
        <v>24</v>
      </c>
      <c r="EQ273" s="226">
        <v>-369</v>
      </c>
      <c r="ER273" s="230">
        <v>0</v>
      </c>
      <c r="ES273" s="230">
        <v>68</v>
      </c>
      <c r="ET273" s="3">
        <v>4000</v>
      </c>
      <c r="EU273" s="211">
        <v>700</v>
      </c>
      <c r="EV273" s="183">
        <v>1200</v>
      </c>
      <c r="EW273" s="183">
        <v>1200</v>
      </c>
      <c r="EX273" s="130">
        <v>2500</v>
      </c>
      <c r="EY273" s="183">
        <v>500</v>
      </c>
      <c r="EZ273" s="3">
        <v>15100</v>
      </c>
      <c r="FA273" s="3">
        <v>13942</v>
      </c>
      <c r="FB273" s="3">
        <v>1158</v>
      </c>
      <c r="FC273" s="3">
        <v>684</v>
      </c>
      <c r="FD273" s="226">
        <v>17042</v>
      </c>
      <c r="FE273" s="183">
        <v>12029</v>
      </c>
      <c r="FF273" s="183">
        <v>5013</v>
      </c>
      <c r="FG273" s="183">
        <v>779</v>
      </c>
      <c r="FH273" s="230">
        <v>16928</v>
      </c>
      <c r="FI273" s="130">
        <v>10440</v>
      </c>
      <c r="FJ273" s="130">
        <v>6488</v>
      </c>
      <c r="FK273" s="130">
        <v>779</v>
      </c>
      <c r="FL273" s="29">
        <v>6460.4810996563574</v>
      </c>
      <c r="FM273" s="139">
        <v>7453.1377343113281</v>
      </c>
      <c r="FN273" s="139">
        <v>7619.3088315962705</v>
      </c>
      <c r="FO273" s="172">
        <f t="shared" si="12"/>
        <v>476.04651162790697</v>
      </c>
      <c r="FP273" s="170">
        <f t="shared" si="13"/>
        <v>130.56678870759927</v>
      </c>
      <c r="FR273" s="175"/>
      <c r="FS273" s="195"/>
      <c r="FV273" s="175">
        <v>881</v>
      </c>
      <c r="FW273" s="2">
        <f t="shared" si="14"/>
        <v>-881</v>
      </c>
      <c r="FZ273" s="186"/>
      <c r="GA273" s="2"/>
      <c r="GB273" s="2"/>
    </row>
    <row r="274" spans="1:184" ht="13" x14ac:dyDescent="0.3">
      <c r="A274" s="77">
        <v>893</v>
      </c>
      <c r="B274" s="75" t="s">
        <v>265</v>
      </c>
      <c r="C274" s="179">
        <v>7455</v>
      </c>
      <c r="D274" s="138"/>
      <c r="E274" s="142">
        <v>-5.2745219000616905E-2</v>
      </c>
      <c r="F274" s="142">
        <v>89.463131189131687</v>
      </c>
      <c r="G274" s="183">
        <v>-4898.5915492957747</v>
      </c>
      <c r="H274" s="144"/>
      <c r="I274" s="186"/>
      <c r="K274" s="210">
        <v>43.32971037657439</v>
      </c>
      <c r="L274" s="143">
        <v>356.53923541247485</v>
      </c>
      <c r="M274" s="146">
        <v>16.493879632777968</v>
      </c>
      <c r="N274" s="143">
        <v>7890.006706908116</v>
      </c>
      <c r="O274" s="138">
        <v>15304</v>
      </c>
      <c r="P274" s="143">
        <v>5304</v>
      </c>
      <c r="Q274" s="184">
        <v>49457</v>
      </c>
      <c r="R274" s="184">
        <v>-44153</v>
      </c>
      <c r="S274" s="139">
        <v>26305</v>
      </c>
      <c r="T274" s="138">
        <v>17303</v>
      </c>
      <c r="U274" s="151"/>
      <c r="W274" s="183">
        <v>-130</v>
      </c>
      <c r="X274" s="183">
        <v>319</v>
      </c>
      <c r="Y274" s="184">
        <v>-356</v>
      </c>
      <c r="Z274" s="130">
        <v>2143</v>
      </c>
      <c r="AA274" s="130">
        <v>0</v>
      </c>
      <c r="AB274" s="130">
        <v>0</v>
      </c>
      <c r="AC274" s="184">
        <v>-2499</v>
      </c>
      <c r="AD274" s="184">
        <v>69</v>
      </c>
      <c r="AE274" s="183">
        <v>0</v>
      </c>
      <c r="AF274" s="183">
        <v>0</v>
      </c>
      <c r="AG274" s="183">
        <v>-2430</v>
      </c>
      <c r="AH274" s="183">
        <v>6066</v>
      </c>
      <c r="AI274" s="183">
        <v>-384</v>
      </c>
      <c r="AJ274" s="167"/>
      <c r="AK274" s="183">
        <v>-1058</v>
      </c>
      <c r="AL274" s="183">
        <v>-3057</v>
      </c>
      <c r="AM274" s="180">
        <v>-6044</v>
      </c>
      <c r="AN274" s="139">
        <v>26305</v>
      </c>
      <c r="AO274" s="138">
        <v>21112</v>
      </c>
      <c r="AP274" s="184">
        <v>2737</v>
      </c>
      <c r="AQ274" s="138">
        <v>2456</v>
      </c>
      <c r="AR274" s="109">
        <v>21.25</v>
      </c>
      <c r="AS274" s="144"/>
      <c r="AT274" s="139">
        <v>267</v>
      </c>
      <c r="AU274" s="228">
        <v>7464</v>
      </c>
      <c r="AV274" s="138"/>
      <c r="AW274" s="224">
        <v>0.11826347305389222</v>
      </c>
      <c r="AX274" s="225">
        <v>106</v>
      </c>
      <c r="AY274" s="139">
        <v>-6166.1307609860669</v>
      </c>
      <c r="AZ274" s="144"/>
      <c r="BA274"/>
      <c r="BC274" s="189">
        <v>36.996895157132549</v>
      </c>
      <c r="BD274" s="183">
        <v>228.56377277599142</v>
      </c>
      <c r="BE274" s="140">
        <v>9.5528043691703477</v>
      </c>
      <c r="BF274" s="139">
        <v>8733.1189710610925</v>
      </c>
      <c r="BG274" s="184">
        <v>15251</v>
      </c>
      <c r="BH274" s="216">
        <v>5356</v>
      </c>
      <c r="BI274" s="216">
        <v>51009</v>
      </c>
      <c r="BJ274" s="216">
        <v>-45629</v>
      </c>
      <c r="BK274" s="216">
        <v>27063</v>
      </c>
      <c r="BL274" s="216">
        <v>18881</v>
      </c>
      <c r="BM274" s="151"/>
      <c r="BO274" s="216">
        <v>-39</v>
      </c>
      <c r="BP274" s="216">
        <v>336</v>
      </c>
      <c r="BQ274" s="216">
        <v>612</v>
      </c>
      <c r="BR274" s="216">
        <v>2205</v>
      </c>
      <c r="BS274" s="216">
        <v>0</v>
      </c>
      <c r="BT274" s="216">
        <v>0</v>
      </c>
      <c r="BU274" s="216">
        <v>-1593</v>
      </c>
      <c r="BV274" s="184">
        <v>69</v>
      </c>
      <c r="BW274" s="183">
        <v>0</v>
      </c>
      <c r="BX274" s="183">
        <v>0</v>
      </c>
      <c r="BY274" s="183">
        <v>-1524</v>
      </c>
      <c r="BZ274" s="183">
        <v>4542</v>
      </c>
      <c r="CA274" s="183">
        <v>654</v>
      </c>
      <c r="CB274" s="167"/>
      <c r="CC274" s="183">
        <v>-2099</v>
      </c>
      <c r="CD274" s="183">
        <v>-3382</v>
      </c>
      <c r="CE274" s="180">
        <v>-5520</v>
      </c>
      <c r="CF274" s="139">
        <v>27063</v>
      </c>
      <c r="CG274" s="216">
        <v>21946</v>
      </c>
      <c r="CH274" s="216">
        <v>2557</v>
      </c>
      <c r="CI274" s="216">
        <v>2560</v>
      </c>
      <c r="CJ274" s="212">
        <v>21.25</v>
      </c>
      <c r="CK274" s="144"/>
      <c r="CL274" s="130">
        <v>191</v>
      </c>
      <c r="CM274" s="228">
        <v>7479</v>
      </c>
      <c r="CN274" s="138"/>
      <c r="CO274" s="142">
        <v>1.5800800800800801</v>
      </c>
      <c r="CP274" s="142">
        <v>96.803378661278288</v>
      </c>
      <c r="CQ274" s="183">
        <v>-5741.8104024602217</v>
      </c>
      <c r="CR274" s="144"/>
      <c r="CS274"/>
      <c r="CU274" s="232">
        <v>39.657628753800076</v>
      </c>
      <c r="CV274" s="143">
        <v>543.25444578152155</v>
      </c>
      <c r="CW274" s="146">
        <v>26.350770269549923</v>
      </c>
      <c r="CX274" s="143">
        <v>7524.9364888354057</v>
      </c>
      <c r="CY274" s="131">
        <v>14822</v>
      </c>
      <c r="CZ274" s="229">
        <v>5238</v>
      </c>
      <c r="DA274" s="229">
        <v>49197</v>
      </c>
      <c r="DB274" s="216">
        <v>-43959</v>
      </c>
      <c r="DC274" s="229">
        <v>27551</v>
      </c>
      <c r="DD274" s="229">
        <v>22196</v>
      </c>
      <c r="DE274" s="151"/>
      <c r="DG274" s="229">
        <v>9</v>
      </c>
      <c r="DH274" s="229">
        <v>338</v>
      </c>
      <c r="DI274" s="229">
        <v>6135</v>
      </c>
      <c r="DJ274" s="229">
        <v>3075</v>
      </c>
      <c r="DK274" s="229">
        <v>0</v>
      </c>
      <c r="DL274" s="229">
        <v>0</v>
      </c>
      <c r="DM274" s="229">
        <v>3060</v>
      </c>
      <c r="DN274" s="131">
        <v>56</v>
      </c>
      <c r="DO274" s="130">
        <v>0</v>
      </c>
      <c r="DP274" s="130">
        <v>0</v>
      </c>
      <c r="DQ274" s="130">
        <v>3116</v>
      </c>
      <c r="DR274" s="130">
        <v>7658</v>
      </c>
      <c r="DS274" s="130">
        <v>6135</v>
      </c>
      <c r="DT274" s="167"/>
      <c r="DU274" s="183">
        <v>478</v>
      </c>
      <c r="DV274" s="183">
        <v>-3817</v>
      </c>
      <c r="DW274" s="180">
        <v>4076</v>
      </c>
      <c r="DX274" s="130">
        <v>27551</v>
      </c>
      <c r="DY274" s="229">
        <v>22467</v>
      </c>
      <c r="DZ274" s="229">
        <v>2735</v>
      </c>
      <c r="EA274" s="229">
        <v>2349</v>
      </c>
      <c r="EB274" s="212">
        <v>21.25</v>
      </c>
      <c r="EC274" s="208"/>
      <c r="ED274" s="183">
        <v>78.198529411764696</v>
      </c>
      <c r="EE274" s="3">
        <v>30192</v>
      </c>
      <c r="EF274" s="183">
        <v>32095</v>
      </c>
      <c r="EG274" s="130">
        <v>30884</v>
      </c>
      <c r="EH274" s="130"/>
      <c r="EI274" s="130"/>
      <c r="EJ274" s="130"/>
      <c r="EK274" s="183">
        <v>-6149</v>
      </c>
      <c r="EL274" s="183">
        <v>431</v>
      </c>
      <c r="EM274" s="183">
        <v>58</v>
      </c>
      <c r="EN274" s="226">
        <v>-6621</v>
      </c>
      <c r="EO274" s="226">
        <v>432</v>
      </c>
      <c r="EP274" s="226">
        <v>15</v>
      </c>
      <c r="EQ274" s="226">
        <v>-2134</v>
      </c>
      <c r="ER274" s="230">
        <v>66</v>
      </c>
      <c r="ES274" s="230">
        <v>9</v>
      </c>
      <c r="ET274" s="3">
        <v>7500</v>
      </c>
      <c r="EU274" s="211">
        <v>0</v>
      </c>
      <c r="EV274" s="183">
        <v>6500</v>
      </c>
      <c r="EW274" s="183">
        <v>8000</v>
      </c>
      <c r="EX274" s="130">
        <v>4200</v>
      </c>
      <c r="EY274" s="183">
        <v>-2000</v>
      </c>
      <c r="EZ274" s="3">
        <v>37589</v>
      </c>
      <c r="FA274" s="3">
        <v>17532</v>
      </c>
      <c r="FB274" s="3">
        <v>20057</v>
      </c>
      <c r="FC274" s="3">
        <v>3014</v>
      </c>
      <c r="FD274" s="226">
        <v>48707</v>
      </c>
      <c r="FE274" s="183">
        <v>20100</v>
      </c>
      <c r="FF274" s="183">
        <v>28607</v>
      </c>
      <c r="FG274" s="183">
        <v>7014</v>
      </c>
      <c r="FH274" s="230">
        <v>47090</v>
      </c>
      <c r="FI274" s="130">
        <v>20188</v>
      </c>
      <c r="FJ274" s="130">
        <v>26902</v>
      </c>
      <c r="FK274" s="130">
        <v>8014</v>
      </c>
      <c r="FL274" s="29">
        <v>7055.3990610328638</v>
      </c>
      <c r="FM274" s="139">
        <v>8553.3226152197221</v>
      </c>
      <c r="FN274" s="139">
        <v>8309.1322369300706</v>
      </c>
      <c r="FO274" s="172">
        <f t="shared" si="12"/>
        <v>1057.2705882352941</v>
      </c>
      <c r="FP274" s="170">
        <f t="shared" si="13"/>
        <v>141.36523442108492</v>
      </c>
      <c r="FR274" s="175"/>
      <c r="FS274" s="195"/>
      <c r="FV274" s="175">
        <v>883</v>
      </c>
      <c r="FW274" s="2">
        <f t="shared" si="14"/>
        <v>-883</v>
      </c>
      <c r="FZ274" s="186"/>
      <c r="GA274" s="2"/>
      <c r="GB274" s="2"/>
    </row>
    <row r="275" spans="1:184" ht="13" x14ac:dyDescent="0.3">
      <c r="A275" s="77">
        <v>895</v>
      </c>
      <c r="B275" s="75" t="s">
        <v>266</v>
      </c>
      <c r="C275" s="179">
        <v>15700</v>
      </c>
      <c r="D275" s="138"/>
      <c r="E275" s="142">
        <v>1.2515489467162331</v>
      </c>
      <c r="F275" s="142">
        <v>44.829766410587311</v>
      </c>
      <c r="G275" s="183">
        <v>-2077.3248407643309</v>
      </c>
      <c r="H275" s="144"/>
      <c r="I275" s="186"/>
      <c r="K275" s="210">
        <v>62.410725901985089</v>
      </c>
      <c r="L275" s="143">
        <v>739.55414012738856</v>
      </c>
      <c r="M275" s="146">
        <v>32.748238185021485</v>
      </c>
      <c r="N275" s="143">
        <v>8242.8025477707015</v>
      </c>
      <c r="O275" s="138">
        <v>48244</v>
      </c>
      <c r="P275" s="143">
        <v>26804</v>
      </c>
      <c r="Q275" s="184">
        <v>109012</v>
      </c>
      <c r="R275" s="184">
        <v>-82208</v>
      </c>
      <c r="S275" s="139">
        <v>64447</v>
      </c>
      <c r="T275" s="138">
        <v>24707</v>
      </c>
      <c r="U275" s="151"/>
      <c r="W275" s="183">
        <v>-350</v>
      </c>
      <c r="X275" s="183">
        <v>10</v>
      </c>
      <c r="Y275" s="184">
        <v>6606</v>
      </c>
      <c r="Z275" s="130">
        <v>6026</v>
      </c>
      <c r="AA275" s="130">
        <v>1001</v>
      </c>
      <c r="AB275" s="130">
        <v>0</v>
      </c>
      <c r="AC275" s="184">
        <v>1581</v>
      </c>
      <c r="AD275" s="184">
        <v>560</v>
      </c>
      <c r="AE275" s="183">
        <v>0</v>
      </c>
      <c r="AF275" s="183">
        <v>729</v>
      </c>
      <c r="AG275" s="183">
        <v>2870</v>
      </c>
      <c r="AH275" s="183">
        <v>12269</v>
      </c>
      <c r="AI275" s="183">
        <v>6835</v>
      </c>
      <c r="AJ275" s="167"/>
      <c r="AK275" s="183">
        <v>1408</v>
      </c>
      <c r="AL275" s="183">
        <v>-5185</v>
      </c>
      <c r="AM275" s="180">
        <v>-4691</v>
      </c>
      <c r="AN275" s="139">
        <v>64447</v>
      </c>
      <c r="AO275" s="138">
        <v>55425</v>
      </c>
      <c r="AP275" s="184">
        <v>3962</v>
      </c>
      <c r="AQ275" s="138">
        <v>5060</v>
      </c>
      <c r="AR275" s="109">
        <v>20.75</v>
      </c>
      <c r="AS275" s="144"/>
      <c r="AT275" s="139">
        <v>66</v>
      </c>
      <c r="AU275" s="228">
        <v>15522</v>
      </c>
      <c r="AV275" s="138"/>
      <c r="AW275" s="224">
        <v>0.64625355985465971</v>
      </c>
      <c r="AX275" s="225">
        <v>51.4672764438901</v>
      </c>
      <c r="AY275" s="139">
        <v>-2739.2088648370054</v>
      </c>
      <c r="AZ275" s="144"/>
      <c r="BA275"/>
      <c r="BC275" s="189">
        <v>58.637207352853125</v>
      </c>
      <c r="BD275" s="183">
        <v>594.57544130910969</v>
      </c>
      <c r="BE275" s="140">
        <v>25.450942911541599</v>
      </c>
      <c r="BF275" s="139">
        <v>8526.9939440793714</v>
      </c>
      <c r="BG275" s="184">
        <v>50781</v>
      </c>
      <c r="BH275" s="216">
        <v>26972</v>
      </c>
      <c r="BI275" s="216">
        <v>113513</v>
      </c>
      <c r="BJ275" s="216">
        <v>-86026</v>
      </c>
      <c r="BK275" s="216">
        <v>64686</v>
      </c>
      <c r="BL275" s="216">
        <v>23794</v>
      </c>
      <c r="BM275" s="151"/>
      <c r="BO275" s="216">
        <v>-330</v>
      </c>
      <c r="BP275" s="216">
        <v>1495</v>
      </c>
      <c r="BQ275" s="216">
        <v>3619</v>
      </c>
      <c r="BR275" s="216">
        <v>6628</v>
      </c>
      <c r="BS275" s="216">
        <v>0</v>
      </c>
      <c r="BT275" s="216">
        <v>0</v>
      </c>
      <c r="BU275" s="216">
        <v>-3009</v>
      </c>
      <c r="BV275" s="184">
        <v>502</v>
      </c>
      <c r="BW275" s="183">
        <v>0</v>
      </c>
      <c r="BX275" s="183">
        <v>-203</v>
      </c>
      <c r="BY275" s="183">
        <v>-2710</v>
      </c>
      <c r="BZ275" s="183">
        <v>9560</v>
      </c>
      <c r="CA275" s="183">
        <v>2487</v>
      </c>
      <c r="CB275" s="167"/>
      <c r="CC275" s="183">
        <v>-574</v>
      </c>
      <c r="CD275" s="183">
        <v>-4677</v>
      </c>
      <c r="CE275" s="180">
        <v>-9891</v>
      </c>
      <c r="CF275" s="139">
        <v>64686</v>
      </c>
      <c r="CG275" s="216">
        <v>56013</v>
      </c>
      <c r="CH275" s="216">
        <v>3389</v>
      </c>
      <c r="CI275" s="216">
        <v>5284</v>
      </c>
      <c r="CJ275" s="212">
        <v>20.75</v>
      </c>
      <c r="CK275" s="144"/>
      <c r="CL275" s="130">
        <v>114</v>
      </c>
      <c r="CM275" s="228">
        <v>15378</v>
      </c>
      <c r="CN275" s="138"/>
      <c r="CO275" s="142">
        <v>2.9485310360061852</v>
      </c>
      <c r="CP275" s="142">
        <v>47.040257071086025</v>
      </c>
      <c r="CQ275" s="183">
        <v>-2679.9973988815191</v>
      </c>
      <c r="CR275" s="144"/>
      <c r="CS275"/>
      <c r="CU275" s="232">
        <v>60.899793637257261</v>
      </c>
      <c r="CV275" s="143">
        <v>574.32696059305499</v>
      </c>
      <c r="CW275" s="146">
        <v>25.264543837237554</v>
      </c>
      <c r="CX275" s="143">
        <v>8297.372870334244</v>
      </c>
      <c r="CY275" s="131">
        <v>49848</v>
      </c>
      <c r="CZ275" s="229">
        <v>24901</v>
      </c>
      <c r="DA275" s="229">
        <v>111344</v>
      </c>
      <c r="DB275" s="216">
        <v>-86443</v>
      </c>
      <c r="DC275" s="229">
        <v>66405</v>
      </c>
      <c r="DD275" s="229">
        <v>31988</v>
      </c>
      <c r="DE275" s="151"/>
      <c r="DG275" s="229">
        <v>-236</v>
      </c>
      <c r="DH275" s="229">
        <v>1267</v>
      </c>
      <c r="DI275" s="229">
        <v>12981</v>
      </c>
      <c r="DJ275" s="229">
        <v>7560</v>
      </c>
      <c r="DK275" s="229">
        <v>0</v>
      </c>
      <c r="DL275" s="229">
        <v>7</v>
      </c>
      <c r="DM275" s="229">
        <v>5414</v>
      </c>
      <c r="DN275" s="131">
        <v>310</v>
      </c>
      <c r="DO275" s="130">
        <v>0</v>
      </c>
      <c r="DP275" s="130">
        <v>-736</v>
      </c>
      <c r="DQ275" s="130">
        <v>4988</v>
      </c>
      <c r="DR275" s="130">
        <v>14548</v>
      </c>
      <c r="DS275" s="130">
        <v>12805</v>
      </c>
      <c r="DT275" s="167"/>
      <c r="DU275" s="183">
        <v>-269</v>
      </c>
      <c r="DV275" s="183">
        <v>-4160</v>
      </c>
      <c r="DW275" s="180">
        <v>789</v>
      </c>
      <c r="DX275" s="130">
        <v>66405</v>
      </c>
      <c r="DY275" s="229">
        <v>57673</v>
      </c>
      <c r="DZ275" s="229">
        <v>3926</v>
      </c>
      <c r="EA275" s="229">
        <v>4806</v>
      </c>
      <c r="EB275" s="212">
        <v>20.75</v>
      </c>
      <c r="EC275" s="208"/>
      <c r="ED275" s="183">
        <v>73.161764705882405</v>
      </c>
      <c r="EE275" s="3">
        <v>44261</v>
      </c>
      <c r="EF275" s="183">
        <v>45038</v>
      </c>
      <c r="EG275" s="130">
        <v>44373</v>
      </c>
      <c r="EH275" s="130"/>
      <c r="EI275" s="130"/>
      <c r="EJ275" s="130"/>
      <c r="EK275" s="183">
        <v>-13960</v>
      </c>
      <c r="EL275" s="183">
        <v>4</v>
      </c>
      <c r="EM275" s="183">
        <v>2430</v>
      </c>
      <c r="EN275" s="226">
        <v>-14150</v>
      </c>
      <c r="EO275" s="226">
        <v>595</v>
      </c>
      <c r="EP275" s="226">
        <v>1177</v>
      </c>
      <c r="EQ275" s="226">
        <v>-12308</v>
      </c>
      <c r="ER275" s="230">
        <v>116</v>
      </c>
      <c r="ES275" s="230">
        <v>176</v>
      </c>
      <c r="ET275" s="3">
        <v>10000</v>
      </c>
      <c r="EU275" s="211">
        <v>1391</v>
      </c>
      <c r="EV275" s="183">
        <v>1700</v>
      </c>
      <c r="EW275" s="183">
        <v>9542</v>
      </c>
      <c r="EX275" s="130">
        <v>0</v>
      </c>
      <c r="EY275" s="183">
        <v>4862</v>
      </c>
      <c r="EZ275" s="3">
        <v>36385</v>
      </c>
      <c r="FA275" s="3">
        <v>26749</v>
      </c>
      <c r="FB275" s="3">
        <v>9636</v>
      </c>
      <c r="FC275" s="3">
        <v>992</v>
      </c>
      <c r="FD275" s="226">
        <v>42950</v>
      </c>
      <c r="FE275" s="183">
        <v>24040</v>
      </c>
      <c r="FF275" s="183">
        <v>18910</v>
      </c>
      <c r="FG275" s="183">
        <v>804</v>
      </c>
      <c r="FH275" s="230">
        <v>43653</v>
      </c>
      <c r="FI275" s="130">
        <v>19880</v>
      </c>
      <c r="FJ275" s="130">
        <v>23773</v>
      </c>
      <c r="FK275" s="130">
        <v>724</v>
      </c>
      <c r="FL275" s="29">
        <v>4671.1464968152868</v>
      </c>
      <c r="FM275" s="139">
        <v>4990.3362968689598</v>
      </c>
      <c r="FN275" s="139">
        <v>4867.342957471712</v>
      </c>
      <c r="FO275" s="172">
        <f t="shared" si="12"/>
        <v>2779.4216867469881</v>
      </c>
      <c r="FP275" s="170">
        <f t="shared" si="13"/>
        <v>180.74012789354845</v>
      </c>
      <c r="FR275" s="175"/>
      <c r="FS275" s="195"/>
      <c r="FV275" s="175">
        <v>4040</v>
      </c>
      <c r="FW275" s="2">
        <f t="shared" si="14"/>
        <v>-4040</v>
      </c>
      <c r="FZ275" s="186"/>
      <c r="GA275" s="2"/>
      <c r="GB275" s="2"/>
    </row>
    <row r="276" spans="1:184" ht="13" x14ac:dyDescent="0.3">
      <c r="A276" s="77">
        <v>785</v>
      </c>
      <c r="B276" s="75" t="s">
        <v>242</v>
      </c>
      <c r="C276" s="179">
        <v>2869</v>
      </c>
      <c r="D276" s="138"/>
      <c r="E276" s="142">
        <v>0.56774984671980377</v>
      </c>
      <c r="F276" s="142">
        <v>47.204783258594915</v>
      </c>
      <c r="G276" s="183">
        <v>-2921.2269083304286</v>
      </c>
      <c r="H276" s="144"/>
      <c r="I276" s="186"/>
      <c r="K276" s="210">
        <v>51.934110679252264</v>
      </c>
      <c r="L276" s="143">
        <v>518.64761240850464</v>
      </c>
      <c r="M276" s="146">
        <v>19.321237993596583</v>
      </c>
      <c r="N276" s="143">
        <v>9797.8389682816305</v>
      </c>
      <c r="O276" s="138">
        <v>6748</v>
      </c>
      <c r="P276" s="143">
        <v>2818</v>
      </c>
      <c r="Q276" s="184">
        <v>25870</v>
      </c>
      <c r="R276" s="184">
        <v>-23052</v>
      </c>
      <c r="S276" s="139">
        <v>10824</v>
      </c>
      <c r="T276" s="138">
        <v>13128</v>
      </c>
      <c r="U276" s="151"/>
      <c r="W276" s="183">
        <v>-80</v>
      </c>
      <c r="X276" s="183">
        <v>-2</v>
      </c>
      <c r="Y276" s="184">
        <v>818</v>
      </c>
      <c r="Z276" s="130">
        <v>995</v>
      </c>
      <c r="AA276" s="130">
        <v>0</v>
      </c>
      <c r="AB276" s="130">
        <v>0</v>
      </c>
      <c r="AC276" s="184">
        <v>-177</v>
      </c>
      <c r="AD276" s="183">
        <v>55</v>
      </c>
      <c r="AE276" s="184">
        <v>0</v>
      </c>
      <c r="AF276" s="183">
        <v>0</v>
      </c>
      <c r="AG276" s="183">
        <v>-122</v>
      </c>
      <c r="AH276" s="183">
        <v>2581</v>
      </c>
      <c r="AI276" s="183">
        <v>803</v>
      </c>
      <c r="AJ276" s="167"/>
      <c r="AK276" s="183">
        <v>550</v>
      </c>
      <c r="AL276" s="183">
        <v>-1523</v>
      </c>
      <c r="AM276" s="180">
        <v>253</v>
      </c>
      <c r="AN276" s="139">
        <v>10824</v>
      </c>
      <c r="AO276" s="138">
        <v>7502</v>
      </c>
      <c r="AP276" s="184">
        <v>619</v>
      </c>
      <c r="AQ276" s="138">
        <v>2703</v>
      </c>
      <c r="AR276" s="109">
        <v>21.5</v>
      </c>
      <c r="AS276" s="144"/>
      <c r="AT276" s="139">
        <v>116</v>
      </c>
      <c r="AU276" s="228">
        <v>2792</v>
      </c>
      <c r="AV276" s="138"/>
      <c r="AW276" s="224">
        <v>0.53896872358410819</v>
      </c>
      <c r="AX276" s="225">
        <v>44.587484607634615</v>
      </c>
      <c r="AY276" s="139">
        <v>-2898.2808022922636</v>
      </c>
      <c r="AZ276" s="144"/>
      <c r="BA276"/>
      <c r="BC276" s="189">
        <v>52.301547291270793</v>
      </c>
      <c r="BD276" s="183">
        <v>431.59025787965618</v>
      </c>
      <c r="BE276" s="140">
        <v>15.672213511972634</v>
      </c>
      <c r="BF276" s="139">
        <v>10051.575931232092</v>
      </c>
      <c r="BG276" s="184">
        <v>6668</v>
      </c>
      <c r="BH276" s="216">
        <v>2956</v>
      </c>
      <c r="BI276" s="216">
        <v>26039</v>
      </c>
      <c r="BJ276" s="216">
        <v>-23077</v>
      </c>
      <c r="BK276" s="216">
        <v>11032</v>
      </c>
      <c r="BL276" s="216">
        <v>12811</v>
      </c>
      <c r="BM276" s="151"/>
      <c r="BO276" s="216">
        <v>-64</v>
      </c>
      <c r="BP276" s="216">
        <v>4</v>
      </c>
      <c r="BQ276" s="216">
        <v>706</v>
      </c>
      <c r="BR276" s="216">
        <v>1249</v>
      </c>
      <c r="BS276" s="216">
        <v>0</v>
      </c>
      <c r="BT276" s="216">
        <v>0</v>
      </c>
      <c r="BU276" s="216">
        <v>-543</v>
      </c>
      <c r="BV276" s="183">
        <v>55</v>
      </c>
      <c r="BW276" s="184">
        <v>0</v>
      </c>
      <c r="BX276" s="183">
        <v>0</v>
      </c>
      <c r="BY276" s="183">
        <v>-488</v>
      </c>
      <c r="BZ276" s="183">
        <v>2093</v>
      </c>
      <c r="CA276" s="183">
        <v>618</v>
      </c>
      <c r="CB276" s="167"/>
      <c r="CC276" s="183">
        <v>112</v>
      </c>
      <c r="CD276" s="183">
        <v>-1435</v>
      </c>
      <c r="CE276" s="180">
        <v>283</v>
      </c>
      <c r="CF276" s="139">
        <v>11032</v>
      </c>
      <c r="CG276" s="216">
        <v>7628</v>
      </c>
      <c r="CH276" s="216">
        <v>625</v>
      </c>
      <c r="CI276" s="216">
        <v>2779</v>
      </c>
      <c r="CJ276" s="212">
        <v>21.5</v>
      </c>
      <c r="CK276" s="144"/>
      <c r="CL276" s="130">
        <v>108</v>
      </c>
      <c r="CM276" s="228">
        <v>2737</v>
      </c>
      <c r="CN276" s="138"/>
      <c r="CO276" s="142">
        <v>0.64659498207885302</v>
      </c>
      <c r="CP276" s="142">
        <v>37.559146829729926</v>
      </c>
      <c r="CQ276" s="183">
        <v>-2511.8743149433685</v>
      </c>
      <c r="CR276" s="144"/>
      <c r="CS276"/>
      <c r="CU276" s="232">
        <v>54.953372642495715</v>
      </c>
      <c r="CV276" s="143">
        <v>356.96017537449762</v>
      </c>
      <c r="CW276" s="146">
        <v>12.489667974222471</v>
      </c>
      <c r="CX276" s="143">
        <v>10431.859700401899</v>
      </c>
      <c r="CY276" s="131">
        <v>6597</v>
      </c>
      <c r="CZ276" s="229">
        <v>2502</v>
      </c>
      <c r="DA276" s="229">
        <v>26620</v>
      </c>
      <c r="DB276" s="216">
        <v>-24118</v>
      </c>
      <c r="DC276" s="229">
        <v>10906</v>
      </c>
      <c r="DD276" s="229">
        <v>14076</v>
      </c>
      <c r="DE276" s="151"/>
      <c r="DG276" s="229">
        <v>-29</v>
      </c>
      <c r="DH276" s="229">
        <v>7</v>
      </c>
      <c r="DI276" s="229">
        <v>842</v>
      </c>
      <c r="DJ276" s="229">
        <v>1188</v>
      </c>
      <c r="DK276" s="229">
        <v>0</v>
      </c>
      <c r="DL276" s="229">
        <v>0</v>
      </c>
      <c r="DM276" s="229">
        <v>-346</v>
      </c>
      <c r="DN276" s="130">
        <v>55</v>
      </c>
      <c r="DO276" s="131">
        <v>0</v>
      </c>
      <c r="DP276" s="130">
        <v>0</v>
      </c>
      <c r="DQ276" s="130">
        <v>-291</v>
      </c>
      <c r="DR276" s="130">
        <v>1802</v>
      </c>
      <c r="DS276" s="130">
        <v>1596</v>
      </c>
      <c r="DT276" s="167"/>
      <c r="DU276" s="183">
        <v>185</v>
      </c>
      <c r="DV276" s="183">
        <v>-1335</v>
      </c>
      <c r="DW276" s="180">
        <v>1192</v>
      </c>
      <c r="DX276" s="130">
        <v>10906</v>
      </c>
      <c r="DY276" s="229">
        <v>7645</v>
      </c>
      <c r="DZ276" s="229">
        <v>719</v>
      </c>
      <c r="EA276" s="229">
        <v>2542</v>
      </c>
      <c r="EB276" s="212">
        <v>21.5</v>
      </c>
      <c r="EC276" s="208"/>
      <c r="ED276" s="183">
        <v>274.63235294117601</v>
      </c>
      <c r="EE276" s="3">
        <v>17167</v>
      </c>
      <c r="EF276" s="183">
        <v>17439</v>
      </c>
      <c r="EG276" s="130">
        <v>17414</v>
      </c>
      <c r="EH276" s="130"/>
      <c r="EI276" s="130"/>
      <c r="EJ276" s="130"/>
      <c r="EK276" s="183">
        <v>-600</v>
      </c>
      <c r="EL276" s="183">
        <v>0</v>
      </c>
      <c r="EM276" s="183">
        <v>50</v>
      </c>
      <c r="EN276" s="226">
        <v>-504</v>
      </c>
      <c r="EO276" s="226">
        <v>11</v>
      </c>
      <c r="EP276" s="226">
        <v>158</v>
      </c>
      <c r="EQ276" s="226">
        <v>-546</v>
      </c>
      <c r="ER276" s="230">
        <v>11</v>
      </c>
      <c r="ES276" s="230">
        <v>131</v>
      </c>
      <c r="ET276" s="3">
        <v>0</v>
      </c>
      <c r="EU276" s="211">
        <v>1200</v>
      </c>
      <c r="EV276" s="183">
        <v>0</v>
      </c>
      <c r="EW276" s="183">
        <v>1850</v>
      </c>
      <c r="EX276" s="130">
        <v>0</v>
      </c>
      <c r="EY276" s="183">
        <v>-500</v>
      </c>
      <c r="EZ276" s="3">
        <v>10066</v>
      </c>
      <c r="FA276" s="3">
        <v>5482</v>
      </c>
      <c r="FB276" s="3">
        <v>4584</v>
      </c>
      <c r="FC276" s="3">
        <v>633</v>
      </c>
      <c r="FD276" s="226">
        <v>10481</v>
      </c>
      <c r="FE276" s="183">
        <v>4145</v>
      </c>
      <c r="FF276" s="183">
        <v>6336</v>
      </c>
      <c r="FG276" s="183">
        <v>633</v>
      </c>
      <c r="FH276" s="230">
        <v>8645</v>
      </c>
      <c r="FI276" s="130">
        <v>3132</v>
      </c>
      <c r="FJ276" s="130">
        <v>5513</v>
      </c>
      <c r="FK276" s="130">
        <v>610</v>
      </c>
      <c r="FL276" s="29">
        <v>4972.812826768909</v>
      </c>
      <c r="FM276" s="139">
        <v>5453.4383954154728</v>
      </c>
      <c r="FN276" s="139">
        <v>5588.966021191085</v>
      </c>
      <c r="FO276" s="172">
        <f t="shared" si="12"/>
        <v>355.58139534883719</v>
      </c>
      <c r="FP276" s="170">
        <f t="shared" si="13"/>
        <v>129.91647619614074</v>
      </c>
      <c r="FR276" s="175"/>
      <c r="FS276" s="195"/>
      <c r="FV276" s="175">
        <v>1411</v>
      </c>
      <c r="FW276" s="2">
        <f t="shared" si="14"/>
        <v>-1411</v>
      </c>
      <c r="FZ276" s="186"/>
      <c r="GA276" s="2"/>
      <c r="GB276" s="2"/>
    </row>
    <row r="277" spans="1:184" ht="13" x14ac:dyDescent="0.3">
      <c r="A277" s="77">
        <v>905</v>
      </c>
      <c r="B277" s="75" t="s">
        <v>267</v>
      </c>
      <c r="C277" s="179">
        <v>67552</v>
      </c>
      <c r="D277" s="138"/>
      <c r="E277" s="142">
        <v>1.0375975715524719</v>
      </c>
      <c r="F277" s="142">
        <v>66.217677413628238</v>
      </c>
      <c r="G277" s="183">
        <v>-4227.7504737091422</v>
      </c>
      <c r="H277" s="144"/>
      <c r="I277" s="186"/>
      <c r="K277" s="210">
        <v>45.432509578251647</v>
      </c>
      <c r="L277" s="143">
        <v>111.12920416864046</v>
      </c>
      <c r="M277" s="146">
        <v>4.9212437206010984</v>
      </c>
      <c r="N277" s="143">
        <v>8242.2578162008522</v>
      </c>
      <c r="O277" s="138">
        <v>228720</v>
      </c>
      <c r="P277" s="143">
        <v>122938</v>
      </c>
      <c r="Q277" s="184">
        <v>490327</v>
      </c>
      <c r="R277" s="184">
        <v>-367389</v>
      </c>
      <c r="S277" s="139">
        <v>269946</v>
      </c>
      <c r="T277" s="138">
        <v>104845</v>
      </c>
      <c r="U277" s="151"/>
      <c r="W277" s="183">
        <v>-1853</v>
      </c>
      <c r="X277" s="183">
        <v>15770</v>
      </c>
      <c r="Y277" s="184">
        <v>21319</v>
      </c>
      <c r="Z277" s="130">
        <v>31204</v>
      </c>
      <c r="AA277" s="130">
        <v>0</v>
      </c>
      <c r="AB277" s="130">
        <v>0</v>
      </c>
      <c r="AC277" s="184">
        <v>-9885</v>
      </c>
      <c r="AD277" s="184">
        <v>639</v>
      </c>
      <c r="AE277" s="184">
        <v>0</v>
      </c>
      <c r="AF277" s="184">
        <v>0</v>
      </c>
      <c r="AG277" s="183">
        <v>-9246</v>
      </c>
      <c r="AH277" s="183">
        <v>-32932</v>
      </c>
      <c r="AI277" s="183">
        <v>10134</v>
      </c>
      <c r="AJ277" s="167"/>
      <c r="AK277" s="183">
        <v>-6926</v>
      </c>
      <c r="AL277" s="183">
        <v>-20452</v>
      </c>
      <c r="AM277" s="180">
        <v>-16328</v>
      </c>
      <c r="AN277" s="139">
        <v>269946</v>
      </c>
      <c r="AO277" s="138">
        <v>223855</v>
      </c>
      <c r="AP277" s="184">
        <v>24859</v>
      </c>
      <c r="AQ277" s="138">
        <v>21232</v>
      </c>
      <c r="AR277" s="109">
        <v>20</v>
      </c>
      <c r="AS277" s="144"/>
      <c r="AT277" s="139">
        <v>106</v>
      </c>
      <c r="AU277" s="228">
        <v>67636</v>
      </c>
      <c r="AV277" s="138"/>
      <c r="AW277" s="224">
        <v>0.94651398301783907</v>
      </c>
      <c r="AX277" s="225">
        <v>65.756016432900893</v>
      </c>
      <c r="AY277" s="139">
        <v>-4575.4036312023181</v>
      </c>
      <c r="AZ277" s="144"/>
      <c r="BA277"/>
      <c r="BC277" s="189">
        <v>45.410289239364488</v>
      </c>
      <c r="BD277" s="183">
        <v>24.942338399668817</v>
      </c>
      <c r="BE277" s="140">
        <v>1.0348649602527689</v>
      </c>
      <c r="BF277" s="139">
        <v>8797.2381571943934</v>
      </c>
      <c r="BG277" s="184">
        <v>224257</v>
      </c>
      <c r="BH277" s="216">
        <v>129858</v>
      </c>
      <c r="BI277" s="216">
        <v>502911</v>
      </c>
      <c r="BJ277" s="216">
        <v>-372462</v>
      </c>
      <c r="BK277" s="216">
        <v>283156</v>
      </c>
      <c r="BL277" s="216">
        <v>111300</v>
      </c>
      <c r="BM277" s="151"/>
      <c r="BO277" s="216">
        <v>-1878</v>
      </c>
      <c r="BP277" s="216">
        <v>15231</v>
      </c>
      <c r="BQ277" s="216">
        <v>35347</v>
      </c>
      <c r="BR277" s="216">
        <v>28828</v>
      </c>
      <c r="BS277" s="216">
        <v>0</v>
      </c>
      <c r="BT277" s="216">
        <v>0</v>
      </c>
      <c r="BU277" s="216">
        <v>6519</v>
      </c>
      <c r="BV277" s="184">
        <v>598</v>
      </c>
      <c r="BW277" s="184">
        <v>0</v>
      </c>
      <c r="BX277" s="184">
        <v>17</v>
      </c>
      <c r="BY277" s="183">
        <v>7134</v>
      </c>
      <c r="BZ277" s="183">
        <v>-25799</v>
      </c>
      <c r="CA277" s="183">
        <v>17769</v>
      </c>
      <c r="CB277" s="167"/>
      <c r="CC277" s="183">
        <v>-1768</v>
      </c>
      <c r="CD277" s="183">
        <v>-16607</v>
      </c>
      <c r="CE277" s="180">
        <v>-29710</v>
      </c>
      <c r="CF277" s="139">
        <v>283156</v>
      </c>
      <c r="CG277" s="216">
        <v>235919</v>
      </c>
      <c r="CH277" s="216">
        <v>25763</v>
      </c>
      <c r="CI277" s="216">
        <v>21474</v>
      </c>
      <c r="CJ277" s="212">
        <v>20.5</v>
      </c>
      <c r="CK277" s="144"/>
      <c r="CL277" s="130">
        <v>25</v>
      </c>
      <c r="CM277" s="228">
        <v>67551</v>
      </c>
      <c r="CN277" s="138"/>
      <c r="CO277" s="142">
        <v>2.9255611543747135</v>
      </c>
      <c r="CP277" s="142">
        <v>64.309281543492716</v>
      </c>
      <c r="CQ277" s="183">
        <v>-4601.1161936906929</v>
      </c>
      <c r="CR277" s="144"/>
      <c r="CS277"/>
      <c r="CU277" s="232">
        <v>46.906878203138191</v>
      </c>
      <c r="CV277" s="143">
        <v>108.42178502168731</v>
      </c>
      <c r="CW277" s="146">
        <v>4.5270282856712241</v>
      </c>
      <c r="CX277" s="143">
        <v>8741.7062663765155</v>
      </c>
      <c r="CY277" s="131">
        <v>221484</v>
      </c>
      <c r="CZ277" s="229">
        <v>108002</v>
      </c>
      <c r="DA277" s="229">
        <v>497228</v>
      </c>
      <c r="DB277" s="216">
        <v>-389226</v>
      </c>
      <c r="DC277" s="229">
        <v>299939</v>
      </c>
      <c r="DD277" s="229">
        <v>141306</v>
      </c>
      <c r="DE277" s="151"/>
      <c r="DG277" s="229">
        <v>-122</v>
      </c>
      <c r="DH277" s="229">
        <v>10963</v>
      </c>
      <c r="DI277" s="229">
        <v>62860</v>
      </c>
      <c r="DJ277" s="229">
        <v>30239</v>
      </c>
      <c r="DK277" s="229">
        <v>0</v>
      </c>
      <c r="DL277" s="229">
        <v>0</v>
      </c>
      <c r="DM277" s="229">
        <v>32621</v>
      </c>
      <c r="DN277" s="131">
        <v>543</v>
      </c>
      <c r="DO277" s="131">
        <v>-5500</v>
      </c>
      <c r="DP277" s="131">
        <v>76</v>
      </c>
      <c r="DQ277" s="130">
        <v>27740</v>
      </c>
      <c r="DR277" s="130">
        <v>1707</v>
      </c>
      <c r="DS277" s="130">
        <v>61591</v>
      </c>
      <c r="DT277" s="167"/>
      <c r="DU277" s="183">
        <v>-10546</v>
      </c>
      <c r="DV277" s="183">
        <v>-20825</v>
      </c>
      <c r="DW277" s="180">
        <v>-3163</v>
      </c>
      <c r="DX277" s="130">
        <v>299939</v>
      </c>
      <c r="DY277" s="229">
        <v>251340</v>
      </c>
      <c r="DZ277" s="229">
        <v>27058</v>
      </c>
      <c r="EA277" s="229">
        <v>21541</v>
      </c>
      <c r="EB277" s="212">
        <v>21</v>
      </c>
      <c r="EC277" s="208"/>
      <c r="ED277" s="183">
        <v>55.029411764705898</v>
      </c>
      <c r="EE277" s="3">
        <v>198073</v>
      </c>
      <c r="EF277" s="183">
        <v>214609</v>
      </c>
      <c r="EG277" s="130">
        <v>210569</v>
      </c>
      <c r="EH277" s="130"/>
      <c r="EI277" s="130"/>
      <c r="EJ277" s="130"/>
      <c r="EK277" s="183">
        <v>-45247</v>
      </c>
      <c r="EL277" s="183">
        <v>471</v>
      </c>
      <c r="EM277" s="183">
        <v>18314</v>
      </c>
      <c r="EN277" s="226">
        <v>-73388</v>
      </c>
      <c r="EO277" s="226">
        <v>979</v>
      </c>
      <c r="EP277" s="226">
        <v>24930</v>
      </c>
      <c r="EQ277" s="226">
        <v>-69909</v>
      </c>
      <c r="ER277" s="230">
        <v>4094</v>
      </c>
      <c r="ES277" s="230">
        <v>1061</v>
      </c>
      <c r="ET277" s="3">
        <v>19000</v>
      </c>
      <c r="EU277" s="211">
        <v>-5000</v>
      </c>
      <c r="EV277" s="183">
        <v>24500</v>
      </c>
      <c r="EW277" s="183">
        <v>15253</v>
      </c>
      <c r="EX277" s="130">
        <v>80000</v>
      </c>
      <c r="EY277" s="183">
        <v>-53893</v>
      </c>
      <c r="EZ277" s="3">
        <v>252068</v>
      </c>
      <c r="FA277" s="3">
        <v>228259</v>
      </c>
      <c r="FB277" s="3">
        <v>23809</v>
      </c>
      <c r="FC277" s="3">
        <v>15323</v>
      </c>
      <c r="FD277" s="226">
        <v>275226</v>
      </c>
      <c r="FE277" s="183">
        <v>198781</v>
      </c>
      <c r="FF277" s="183">
        <v>76445</v>
      </c>
      <c r="FG277" s="183">
        <v>14692</v>
      </c>
      <c r="FH277" s="230">
        <v>279756</v>
      </c>
      <c r="FI277" s="130">
        <v>257956</v>
      </c>
      <c r="FJ277" s="130">
        <v>21800</v>
      </c>
      <c r="FK277" s="130">
        <v>14314</v>
      </c>
      <c r="FL277" s="29">
        <v>8356.9250355281856</v>
      </c>
      <c r="FM277" s="139">
        <v>8986.8856821810878</v>
      </c>
      <c r="FN277" s="139">
        <v>9522.4497046675842</v>
      </c>
      <c r="FO277" s="172">
        <f t="shared" si="12"/>
        <v>11968.571428571429</v>
      </c>
      <c r="FP277" s="170">
        <f t="shared" si="13"/>
        <v>177.17830126232667</v>
      </c>
      <c r="FR277" s="175"/>
      <c r="FS277" s="195"/>
      <c r="FV277" s="175">
        <v>18241</v>
      </c>
      <c r="FW277" s="2">
        <f t="shared" si="14"/>
        <v>-18241</v>
      </c>
      <c r="FZ277" s="186"/>
      <c r="GA277" s="2"/>
      <c r="GB277" s="2"/>
    </row>
    <row r="278" spans="1:184" ht="13" x14ac:dyDescent="0.3">
      <c r="A278" s="77">
        <v>908</v>
      </c>
      <c r="B278" s="75" t="s">
        <v>268</v>
      </c>
      <c r="C278" s="179">
        <v>21137</v>
      </c>
      <c r="D278" s="138"/>
      <c r="E278" s="142">
        <v>0.32485741444866922</v>
      </c>
      <c r="F278" s="142">
        <v>59.34406652854512</v>
      </c>
      <c r="G278" s="183">
        <v>-2547.8544731986563</v>
      </c>
      <c r="H278" s="144"/>
      <c r="I278" s="186"/>
      <c r="K278" s="210">
        <v>56.604346210801168</v>
      </c>
      <c r="L278" s="143">
        <v>843.87566825945021</v>
      </c>
      <c r="M278" s="146">
        <v>41.313980937392913</v>
      </c>
      <c r="N278" s="143">
        <v>7455.4572550503854</v>
      </c>
      <c r="O278" s="138">
        <v>62398</v>
      </c>
      <c r="P278" s="143">
        <v>25682</v>
      </c>
      <c r="Q278" s="184">
        <v>139870</v>
      </c>
      <c r="R278" s="184">
        <v>-114188</v>
      </c>
      <c r="S278" s="139">
        <v>77385</v>
      </c>
      <c r="T278" s="138">
        <v>36269</v>
      </c>
      <c r="U278" s="151"/>
      <c r="W278" s="183">
        <v>-439</v>
      </c>
      <c r="X278" s="183">
        <v>3201</v>
      </c>
      <c r="Y278" s="184">
        <v>2228</v>
      </c>
      <c r="Z278" s="130">
        <v>7895</v>
      </c>
      <c r="AA278" s="130">
        <v>0</v>
      </c>
      <c r="AB278" s="130">
        <v>0</v>
      </c>
      <c r="AC278" s="184">
        <v>-5667</v>
      </c>
      <c r="AD278" s="184">
        <v>371</v>
      </c>
      <c r="AE278" s="184">
        <v>0</v>
      </c>
      <c r="AF278" s="184">
        <v>0</v>
      </c>
      <c r="AG278" s="183">
        <v>-5296</v>
      </c>
      <c r="AH278" s="183">
        <v>3961</v>
      </c>
      <c r="AI278" s="183">
        <v>1878</v>
      </c>
      <c r="AJ278" s="167"/>
      <c r="AK278" s="183">
        <v>1390</v>
      </c>
      <c r="AL278" s="183">
        <v>-7910</v>
      </c>
      <c r="AM278" s="180">
        <v>-6668</v>
      </c>
      <c r="AN278" s="139">
        <v>77385</v>
      </c>
      <c r="AO278" s="138">
        <v>68013</v>
      </c>
      <c r="AP278" s="184">
        <v>4408</v>
      </c>
      <c r="AQ278" s="138">
        <v>4964</v>
      </c>
      <c r="AR278" s="109">
        <v>19.75</v>
      </c>
      <c r="AS278" s="144"/>
      <c r="AT278" s="139">
        <v>213</v>
      </c>
      <c r="AU278" s="228">
        <v>20972</v>
      </c>
      <c r="AV278" s="138"/>
      <c r="AW278" s="224">
        <v>0.3697305417331706</v>
      </c>
      <c r="AX278" s="225">
        <v>65.525027969004171</v>
      </c>
      <c r="AY278" s="139">
        <v>-3394.1445737173376</v>
      </c>
      <c r="AZ278" s="144"/>
      <c r="BA278"/>
      <c r="BC278" s="189">
        <v>52.034973924706968</v>
      </c>
      <c r="BD278" s="183">
        <v>607.09517451840543</v>
      </c>
      <c r="BE278" s="140">
        <v>26.655233331803789</v>
      </c>
      <c r="BF278" s="139">
        <v>8313.1794773984366</v>
      </c>
      <c r="BG278" s="184">
        <v>64930</v>
      </c>
      <c r="BH278" s="216">
        <v>25765</v>
      </c>
      <c r="BI278" s="216">
        <v>144182</v>
      </c>
      <c r="BJ278" s="216">
        <v>-118042</v>
      </c>
      <c r="BK278" s="216">
        <v>81783</v>
      </c>
      <c r="BL278" s="216">
        <v>38149</v>
      </c>
      <c r="BM278" s="151"/>
      <c r="BO278" s="216">
        <v>-375</v>
      </c>
      <c r="BP278" s="216">
        <v>1981</v>
      </c>
      <c r="BQ278" s="216">
        <v>3496</v>
      </c>
      <c r="BR278" s="216">
        <v>7703</v>
      </c>
      <c r="BS278" s="216">
        <v>0</v>
      </c>
      <c r="BT278" s="216">
        <v>0</v>
      </c>
      <c r="BU278" s="216">
        <v>-4207</v>
      </c>
      <c r="BV278" s="184">
        <v>353</v>
      </c>
      <c r="BW278" s="184">
        <v>0</v>
      </c>
      <c r="BX278" s="184">
        <v>0</v>
      </c>
      <c r="BY278" s="183">
        <v>-3854</v>
      </c>
      <c r="BZ278" s="183">
        <v>107</v>
      </c>
      <c r="CA278" s="183">
        <v>2284</v>
      </c>
      <c r="CB278" s="167"/>
      <c r="CC278" s="183">
        <v>-752</v>
      </c>
      <c r="CD278" s="183">
        <v>-8610</v>
      </c>
      <c r="CE278" s="180">
        <v>-17029</v>
      </c>
      <c r="CF278" s="139">
        <v>81783</v>
      </c>
      <c r="CG278" s="216">
        <v>72248</v>
      </c>
      <c r="CH278" s="216">
        <v>4426</v>
      </c>
      <c r="CI278" s="216">
        <v>5109</v>
      </c>
      <c r="CJ278" s="212">
        <v>20.25</v>
      </c>
      <c r="CK278" s="144"/>
      <c r="CL278" s="130">
        <v>142</v>
      </c>
      <c r="CM278" s="228">
        <v>20765</v>
      </c>
      <c r="CN278" s="138"/>
      <c r="CO278" s="142">
        <v>1.5058643549209587</v>
      </c>
      <c r="CP278" s="142">
        <v>65.608734447033157</v>
      </c>
      <c r="CQ278" s="183">
        <v>-3683.4095834336622</v>
      </c>
      <c r="CR278" s="144"/>
      <c r="CS278"/>
      <c r="CU278" s="232">
        <v>50.759808009488331</v>
      </c>
      <c r="CV278" s="143">
        <v>893.37828076089579</v>
      </c>
      <c r="CW278" s="146">
        <v>37.847756338594998</v>
      </c>
      <c r="CX278" s="143">
        <v>8615.6513363833365</v>
      </c>
      <c r="CY278" s="131">
        <v>67880</v>
      </c>
      <c r="CZ278" s="229">
        <v>29910</v>
      </c>
      <c r="DA278" s="229">
        <v>149104</v>
      </c>
      <c r="DB278" s="216">
        <v>-119194</v>
      </c>
      <c r="DC278" s="229">
        <v>84214</v>
      </c>
      <c r="DD278" s="229">
        <v>47649</v>
      </c>
      <c r="DE278" s="151"/>
      <c r="DG278" s="229">
        <v>-314</v>
      </c>
      <c r="DH278" s="229">
        <v>2002</v>
      </c>
      <c r="DI278" s="229">
        <v>14357</v>
      </c>
      <c r="DJ278" s="229">
        <v>8763</v>
      </c>
      <c r="DK278" s="229">
        <v>0</v>
      </c>
      <c r="DL278" s="229">
        <v>0</v>
      </c>
      <c r="DM278" s="229">
        <v>5594</v>
      </c>
      <c r="DN278" s="131">
        <v>328</v>
      </c>
      <c r="DO278" s="131">
        <v>0</v>
      </c>
      <c r="DP278" s="131">
        <v>0</v>
      </c>
      <c r="DQ278" s="130">
        <v>5922</v>
      </c>
      <c r="DR278" s="130">
        <v>6028</v>
      </c>
      <c r="DS278" s="130">
        <v>13387</v>
      </c>
      <c r="DT278" s="167"/>
      <c r="DU278" s="183">
        <v>713</v>
      </c>
      <c r="DV278" s="183">
        <v>-9397</v>
      </c>
      <c r="DW278" s="180">
        <v>-1448</v>
      </c>
      <c r="DX278" s="130">
        <v>84214</v>
      </c>
      <c r="DY278" s="229">
        <v>74365</v>
      </c>
      <c r="DZ278" s="229">
        <v>5066</v>
      </c>
      <c r="EA278" s="229">
        <v>4783</v>
      </c>
      <c r="EB278" s="212">
        <v>20.25</v>
      </c>
      <c r="EC278" s="208"/>
      <c r="ED278" s="183">
        <v>136.625</v>
      </c>
      <c r="EE278" s="3">
        <v>60249</v>
      </c>
      <c r="EF278" s="183">
        <v>61047</v>
      </c>
      <c r="EG278" s="130">
        <v>61305</v>
      </c>
      <c r="EH278" s="130"/>
      <c r="EI278" s="130"/>
      <c r="EJ278" s="130"/>
      <c r="EK278" s="183">
        <v>-9013</v>
      </c>
      <c r="EL278" s="183">
        <v>0</v>
      </c>
      <c r="EM278" s="183">
        <v>467</v>
      </c>
      <c r="EN278" s="226">
        <v>-21173</v>
      </c>
      <c r="EO278" s="226">
        <v>280</v>
      </c>
      <c r="EP278" s="226">
        <v>1580</v>
      </c>
      <c r="EQ278" s="226">
        <v>-16528</v>
      </c>
      <c r="ER278" s="230">
        <v>475</v>
      </c>
      <c r="ES278" s="230">
        <v>1218</v>
      </c>
      <c r="ET278" s="3">
        <v>10000</v>
      </c>
      <c r="EU278" s="211">
        <v>-2140</v>
      </c>
      <c r="EV278" s="183">
        <v>19242</v>
      </c>
      <c r="EW278" s="183">
        <v>5463</v>
      </c>
      <c r="EX278" s="130">
        <v>21735</v>
      </c>
      <c r="EY278" s="183">
        <v>-6744</v>
      </c>
      <c r="EZ278" s="3">
        <v>59454</v>
      </c>
      <c r="FA278" s="3">
        <v>40550</v>
      </c>
      <c r="FB278" s="3">
        <v>18904</v>
      </c>
      <c r="FC278" s="3">
        <v>1138</v>
      </c>
      <c r="FD278" s="226">
        <v>75549</v>
      </c>
      <c r="FE278" s="183">
        <v>50395</v>
      </c>
      <c r="FF278" s="183">
        <v>25154</v>
      </c>
      <c r="FG278" s="183">
        <v>1418</v>
      </c>
      <c r="FH278" s="230">
        <v>80660</v>
      </c>
      <c r="FI278" s="130">
        <v>61359</v>
      </c>
      <c r="FJ278" s="130">
        <v>19301</v>
      </c>
      <c r="FK278" s="130">
        <v>5240</v>
      </c>
      <c r="FL278" s="29">
        <v>4830.013720017032</v>
      </c>
      <c r="FM278" s="139">
        <v>5939.9198931909214</v>
      </c>
      <c r="FN278" s="139">
        <v>6564.9410065013244</v>
      </c>
      <c r="FO278" s="172">
        <f t="shared" si="12"/>
        <v>3672.3456790123455</v>
      </c>
      <c r="FP278" s="170">
        <f t="shared" si="13"/>
        <v>176.85266934805421</v>
      </c>
      <c r="FR278" s="175"/>
      <c r="FS278" s="195"/>
      <c r="FV278" s="175">
        <v>8869</v>
      </c>
      <c r="FW278" s="2">
        <f t="shared" si="14"/>
        <v>-8869</v>
      </c>
      <c r="FZ278" s="186"/>
      <c r="GA278" s="2"/>
      <c r="GB278" s="2"/>
    </row>
    <row r="279" spans="1:184" ht="13" x14ac:dyDescent="0.3">
      <c r="A279" s="77">
        <v>92</v>
      </c>
      <c r="B279" s="75" t="s">
        <v>28</v>
      </c>
      <c r="C279" s="179">
        <v>228166</v>
      </c>
      <c r="D279" s="138"/>
      <c r="E279" s="142">
        <v>0.66899244654973755</v>
      </c>
      <c r="F279" s="142">
        <v>75.491826654020628</v>
      </c>
      <c r="G279" s="183">
        <v>-3729.2716706257725</v>
      </c>
      <c r="H279" s="144"/>
      <c r="I279" s="186"/>
      <c r="K279" s="210">
        <v>46.909206594367582</v>
      </c>
      <c r="L279" s="143">
        <v>613.66724227097814</v>
      </c>
      <c r="M279" s="146">
        <v>31.496948085404306</v>
      </c>
      <c r="N279" s="143">
        <v>7111.436410332828</v>
      </c>
      <c r="O279" s="138">
        <v>483502</v>
      </c>
      <c r="P279" s="143">
        <v>242988</v>
      </c>
      <c r="Q279" s="184">
        <v>1315509</v>
      </c>
      <c r="R279" s="184">
        <v>-1072521</v>
      </c>
      <c r="S279" s="139">
        <v>982746</v>
      </c>
      <c r="T279" s="138">
        <v>173387</v>
      </c>
      <c r="U279" s="151"/>
      <c r="W279" s="183">
        <v>11756</v>
      </c>
      <c r="X279" s="183">
        <v>17281</v>
      </c>
      <c r="Y279" s="184">
        <v>112649</v>
      </c>
      <c r="Z279" s="130">
        <v>108702</v>
      </c>
      <c r="AA279" s="130">
        <v>0</v>
      </c>
      <c r="AB279" s="130">
        <v>0</v>
      </c>
      <c r="AC279" s="184">
        <v>3947</v>
      </c>
      <c r="AD279" s="184">
        <v>283</v>
      </c>
      <c r="AE279" s="184">
        <v>95</v>
      </c>
      <c r="AF279" s="184">
        <v>834</v>
      </c>
      <c r="AG279" s="183">
        <v>5159</v>
      </c>
      <c r="AH279" s="183">
        <v>467268</v>
      </c>
      <c r="AI279" s="183">
        <v>71758</v>
      </c>
      <c r="AJ279" s="167"/>
      <c r="AK279" s="183">
        <v>1660</v>
      </c>
      <c r="AL279" s="183">
        <v>-169530</v>
      </c>
      <c r="AM279" s="180">
        <v>7586</v>
      </c>
      <c r="AN279" s="139">
        <v>982746</v>
      </c>
      <c r="AO279" s="138">
        <v>825742</v>
      </c>
      <c r="AP279" s="184">
        <v>77930</v>
      </c>
      <c r="AQ279" s="138">
        <v>79074</v>
      </c>
      <c r="AR279" s="109">
        <v>19</v>
      </c>
      <c r="AS279" s="144"/>
      <c r="AT279" s="139">
        <v>49</v>
      </c>
      <c r="AU279" s="228">
        <v>233775</v>
      </c>
      <c r="AV279" s="138"/>
      <c r="AW279" s="224">
        <v>0.38953065321361646</v>
      </c>
      <c r="AX279" s="225">
        <v>78.475374594520105</v>
      </c>
      <c r="AY279" s="139">
        <v>-4024.1172067158591</v>
      </c>
      <c r="AZ279" s="144"/>
      <c r="BA279"/>
      <c r="BC279" s="189">
        <v>43.722002641573368</v>
      </c>
      <c r="BD279" s="183">
        <v>533.26916907282634</v>
      </c>
      <c r="BE279" s="140">
        <v>27.529491091869183</v>
      </c>
      <c r="BF279" s="139">
        <v>7070.3539728371297</v>
      </c>
      <c r="BG279" s="184">
        <v>508476</v>
      </c>
      <c r="BH279" s="216">
        <v>230548</v>
      </c>
      <c r="BI279" s="216">
        <v>1407467</v>
      </c>
      <c r="BJ279" s="216">
        <v>-1176919</v>
      </c>
      <c r="BK279" s="216">
        <v>1014612</v>
      </c>
      <c r="BL279" s="216">
        <v>184319</v>
      </c>
      <c r="BM279" s="151"/>
      <c r="BO279" s="216">
        <v>12028</v>
      </c>
      <c r="BP279" s="216">
        <v>15102</v>
      </c>
      <c r="BQ279" s="216">
        <v>49142</v>
      </c>
      <c r="BR279" s="216">
        <v>115154</v>
      </c>
      <c r="BS279" s="216">
        <v>3265</v>
      </c>
      <c r="BT279" s="216">
        <v>0</v>
      </c>
      <c r="BU279" s="216">
        <v>-62747</v>
      </c>
      <c r="BV279" s="184">
        <v>464</v>
      </c>
      <c r="BW279" s="184">
        <v>0</v>
      </c>
      <c r="BX279" s="184">
        <v>-304</v>
      </c>
      <c r="BY279" s="183">
        <v>-62587</v>
      </c>
      <c r="BZ279" s="183">
        <v>404794</v>
      </c>
      <c r="CA279" s="183">
        <v>35594</v>
      </c>
      <c r="CB279" s="167"/>
      <c r="CC279" s="183">
        <v>8923</v>
      </c>
      <c r="CD279" s="183">
        <v>-82293</v>
      </c>
      <c r="CE279" s="180">
        <v>-94181</v>
      </c>
      <c r="CF279" s="139">
        <v>1014612</v>
      </c>
      <c r="CG279" s="216">
        <v>861500</v>
      </c>
      <c r="CH279" s="216">
        <v>74609</v>
      </c>
      <c r="CI279" s="216">
        <v>78503</v>
      </c>
      <c r="CJ279" s="212">
        <v>19</v>
      </c>
      <c r="CK279" s="144"/>
      <c r="CL279" s="130">
        <v>171</v>
      </c>
      <c r="CM279" s="228">
        <v>237231</v>
      </c>
      <c r="CN279" s="138"/>
      <c r="CO279" s="142">
        <v>1.0475826687535714</v>
      </c>
      <c r="CP279" s="142">
        <v>67.238938704567758</v>
      </c>
      <c r="CQ279" s="183">
        <v>-3791.6671935792538</v>
      </c>
      <c r="CR279" s="144"/>
      <c r="CS279"/>
      <c r="CU279" s="232">
        <v>46.198213683789305</v>
      </c>
      <c r="CV279" s="143">
        <v>540.38047304104441</v>
      </c>
      <c r="CW279" s="146">
        <v>26.446539654118016</v>
      </c>
      <c r="CX279" s="143">
        <v>7458.0219279942339</v>
      </c>
      <c r="CY279" s="131">
        <v>529331</v>
      </c>
      <c r="CZ279" s="229">
        <v>236908</v>
      </c>
      <c r="DA279" s="229">
        <v>1463197</v>
      </c>
      <c r="DB279" s="216">
        <v>-1226289</v>
      </c>
      <c r="DC279" s="229">
        <v>1072963</v>
      </c>
      <c r="DD279" s="229">
        <v>293038</v>
      </c>
      <c r="DE279" s="151"/>
      <c r="DG279" s="229">
        <v>11822</v>
      </c>
      <c r="DH279" s="229">
        <v>15220</v>
      </c>
      <c r="DI279" s="229">
        <v>166754</v>
      </c>
      <c r="DJ279" s="229">
        <v>111818</v>
      </c>
      <c r="DK279" s="229">
        <v>125</v>
      </c>
      <c r="DL279" s="229">
        <v>0</v>
      </c>
      <c r="DM279" s="229">
        <v>55061</v>
      </c>
      <c r="DN279" s="131">
        <v>314</v>
      </c>
      <c r="DO279" s="131">
        <v>0</v>
      </c>
      <c r="DP279" s="131">
        <v>-757</v>
      </c>
      <c r="DQ279" s="130">
        <v>54618</v>
      </c>
      <c r="DR279" s="130">
        <v>459281</v>
      </c>
      <c r="DS279" s="130">
        <v>135448</v>
      </c>
      <c r="DT279" s="167"/>
      <c r="DU279" s="183">
        <v>4026</v>
      </c>
      <c r="DV279" s="183">
        <v>-159093</v>
      </c>
      <c r="DW279" s="180">
        <v>32642</v>
      </c>
      <c r="DX279" s="130">
        <v>1072963</v>
      </c>
      <c r="DY279" s="229">
        <v>914970</v>
      </c>
      <c r="DZ279" s="229">
        <v>83468</v>
      </c>
      <c r="EA279" s="229">
        <v>74525</v>
      </c>
      <c r="EB279" s="212">
        <v>19</v>
      </c>
      <c r="EC279" s="208"/>
      <c r="ED279" s="183">
        <v>133.60294117647001</v>
      </c>
      <c r="EE279" s="3">
        <v>641435</v>
      </c>
      <c r="EF279" s="183">
        <v>700088</v>
      </c>
      <c r="EG279" s="130">
        <v>724305</v>
      </c>
      <c r="EH279" s="130"/>
      <c r="EI279" s="130"/>
      <c r="EJ279" s="130"/>
      <c r="EK279" s="183">
        <v>-134811</v>
      </c>
      <c r="EL279" s="183">
        <v>3917</v>
      </c>
      <c r="EM279" s="183">
        <v>66722</v>
      </c>
      <c r="EN279" s="226">
        <v>-157558</v>
      </c>
      <c r="EO279" s="226">
        <v>911</v>
      </c>
      <c r="EP279" s="226">
        <v>26872</v>
      </c>
      <c r="EQ279" s="226">
        <v>-144947</v>
      </c>
      <c r="ER279" s="230">
        <v>2109</v>
      </c>
      <c r="ES279" s="230">
        <v>40032</v>
      </c>
      <c r="ET279" s="3">
        <v>90000</v>
      </c>
      <c r="EU279" s="211">
        <v>-16229</v>
      </c>
      <c r="EV279" s="183">
        <v>100000</v>
      </c>
      <c r="EW279" s="183">
        <v>25530</v>
      </c>
      <c r="EX279" s="130">
        <v>120000</v>
      </c>
      <c r="EY279" s="183">
        <v>-9481</v>
      </c>
      <c r="EZ279" s="3">
        <v>911655</v>
      </c>
      <c r="FA279" s="3">
        <v>797403</v>
      </c>
      <c r="FB279" s="3">
        <v>114252</v>
      </c>
      <c r="FC279" s="3">
        <v>284201</v>
      </c>
      <c r="FD279" s="226">
        <v>954892</v>
      </c>
      <c r="FE279" s="183">
        <v>796013</v>
      </c>
      <c r="FF279" s="183">
        <v>158879</v>
      </c>
      <c r="FG279" s="183">
        <v>278865</v>
      </c>
      <c r="FH279" s="230">
        <v>906317</v>
      </c>
      <c r="FI279" s="130">
        <v>778831</v>
      </c>
      <c r="FJ279" s="130">
        <v>127486</v>
      </c>
      <c r="FK279" s="130">
        <v>273072</v>
      </c>
      <c r="FL279" s="29">
        <v>8451.0487978051078</v>
      </c>
      <c r="FM279" s="139">
        <v>8591.2394396321251</v>
      </c>
      <c r="FN279" s="139">
        <v>8292.1540608099276</v>
      </c>
      <c r="FO279" s="172">
        <f t="shared" si="12"/>
        <v>48156.315789473687</v>
      </c>
      <c r="FP279" s="170">
        <f t="shared" si="13"/>
        <v>202.99335158336677</v>
      </c>
      <c r="FR279" s="175"/>
      <c r="FS279" s="195"/>
      <c r="FV279" s="175">
        <v>50747</v>
      </c>
      <c r="FW279" s="2">
        <f t="shared" si="14"/>
        <v>-50747</v>
      </c>
      <c r="FZ279" s="186"/>
      <c r="GA279" s="2"/>
      <c r="GB279" s="2"/>
    </row>
    <row r="280" spans="1:184" ht="13" x14ac:dyDescent="0.3">
      <c r="A280" s="77">
        <v>915</v>
      </c>
      <c r="B280" s="75" t="s">
        <v>269</v>
      </c>
      <c r="C280" s="179">
        <v>20829</v>
      </c>
      <c r="D280" s="138"/>
      <c r="E280" s="142">
        <v>0.71195196872382016</v>
      </c>
      <c r="F280" s="142">
        <v>55.865203323944975</v>
      </c>
      <c r="G280" s="183">
        <v>-3410.7254308896249</v>
      </c>
      <c r="H280" s="144"/>
      <c r="I280" s="186"/>
      <c r="K280" s="210">
        <v>55.440435838673821</v>
      </c>
      <c r="L280" s="143">
        <v>864.08372941571838</v>
      </c>
      <c r="M280" s="146">
        <v>34.943669014234345</v>
      </c>
      <c r="N280" s="143">
        <v>9025.6853425512509</v>
      </c>
      <c r="O280" s="138">
        <v>74990</v>
      </c>
      <c r="P280" s="143">
        <v>45968</v>
      </c>
      <c r="Q280" s="184">
        <v>170181</v>
      </c>
      <c r="R280" s="184">
        <v>-124213</v>
      </c>
      <c r="S280" s="139">
        <v>78325</v>
      </c>
      <c r="T280" s="138">
        <v>48229</v>
      </c>
      <c r="U280" s="151"/>
      <c r="W280" s="183">
        <v>278</v>
      </c>
      <c r="X280" s="183">
        <v>1943</v>
      </c>
      <c r="Y280" s="184">
        <v>4562</v>
      </c>
      <c r="Z280" s="130">
        <v>9169</v>
      </c>
      <c r="AA280" s="130">
        <v>0</v>
      </c>
      <c r="AB280" s="130">
        <v>0</v>
      </c>
      <c r="AC280" s="184">
        <v>-4607</v>
      </c>
      <c r="AD280" s="183">
        <v>0</v>
      </c>
      <c r="AE280" s="184">
        <v>0</v>
      </c>
      <c r="AF280" s="183">
        <v>947</v>
      </c>
      <c r="AG280" s="183">
        <v>-3660</v>
      </c>
      <c r="AH280" s="183">
        <v>17468</v>
      </c>
      <c r="AI280" s="183">
        <v>4541</v>
      </c>
      <c r="AJ280" s="167"/>
      <c r="AK280" s="183">
        <v>1659</v>
      </c>
      <c r="AL280" s="183">
        <v>-6625</v>
      </c>
      <c r="AM280" s="180">
        <v>-6273</v>
      </c>
      <c r="AN280" s="139">
        <v>78325</v>
      </c>
      <c r="AO280" s="138">
        <v>68660</v>
      </c>
      <c r="AP280" s="184">
        <v>3883</v>
      </c>
      <c r="AQ280" s="138">
        <v>5782</v>
      </c>
      <c r="AR280" s="109">
        <v>21</v>
      </c>
      <c r="AS280" s="144"/>
      <c r="AT280" s="139">
        <v>156</v>
      </c>
      <c r="AU280" s="228">
        <v>20466</v>
      </c>
      <c r="AV280" s="138"/>
      <c r="AW280" s="224">
        <v>0.28759407393382874</v>
      </c>
      <c r="AX280" s="225">
        <v>55.822956874845858</v>
      </c>
      <c r="AY280" s="139">
        <v>-3865.8262484120005</v>
      </c>
      <c r="AZ280" s="144"/>
      <c r="BA280"/>
      <c r="BC280" s="189">
        <v>53.75732538250881</v>
      </c>
      <c r="BD280" s="183">
        <v>504.83729111697448</v>
      </c>
      <c r="BE280" s="140">
        <v>18.621088079319776</v>
      </c>
      <c r="BF280" s="139">
        <v>9895.5340564839244</v>
      </c>
      <c r="BG280" s="184">
        <v>75406</v>
      </c>
      <c r="BH280" s="216">
        <v>45872</v>
      </c>
      <c r="BI280" s="216">
        <v>174132</v>
      </c>
      <c r="BJ280" s="216">
        <v>-127498</v>
      </c>
      <c r="BK280" s="216">
        <v>78953</v>
      </c>
      <c r="BL280" s="216">
        <v>49528</v>
      </c>
      <c r="BM280" s="151"/>
      <c r="BO280" s="216">
        <v>408</v>
      </c>
      <c r="BP280" s="216">
        <v>1238</v>
      </c>
      <c r="BQ280" s="216">
        <v>2629</v>
      </c>
      <c r="BR280" s="216">
        <v>8994</v>
      </c>
      <c r="BS280" s="216">
        <v>196</v>
      </c>
      <c r="BT280" s="216">
        <v>0</v>
      </c>
      <c r="BU280" s="216">
        <v>-6169</v>
      </c>
      <c r="BV280" s="183">
        <v>0</v>
      </c>
      <c r="BW280" s="184">
        <v>12500</v>
      </c>
      <c r="BX280" s="183">
        <v>0</v>
      </c>
      <c r="BY280" s="183">
        <v>6331</v>
      </c>
      <c r="BZ280" s="183">
        <v>23799</v>
      </c>
      <c r="CA280" s="183">
        <v>2786</v>
      </c>
      <c r="CB280" s="167"/>
      <c r="CC280" s="183">
        <v>-919</v>
      </c>
      <c r="CD280" s="183">
        <v>-17151</v>
      </c>
      <c r="CE280" s="180">
        <v>-7738</v>
      </c>
      <c r="CF280" s="139">
        <v>78953</v>
      </c>
      <c r="CG280" s="216">
        <v>68776</v>
      </c>
      <c r="CH280" s="216">
        <v>4278</v>
      </c>
      <c r="CI280" s="216">
        <v>5899</v>
      </c>
      <c r="CJ280" s="212">
        <v>21</v>
      </c>
      <c r="CK280" s="144"/>
      <c r="CL280" s="130">
        <v>122</v>
      </c>
      <c r="CM280" s="228">
        <v>20278</v>
      </c>
      <c r="CN280" s="138"/>
      <c r="CO280" s="142">
        <v>1.8573678683934196</v>
      </c>
      <c r="CP280" s="142">
        <v>60.418300512193667</v>
      </c>
      <c r="CQ280" s="183">
        <v>-4102.7221619489101</v>
      </c>
      <c r="CR280" s="144"/>
      <c r="CS280"/>
      <c r="CU280" s="232">
        <v>50.000220591803689</v>
      </c>
      <c r="CV280" s="143">
        <v>997.68221718118161</v>
      </c>
      <c r="CW280" s="146">
        <v>37.315439463537636</v>
      </c>
      <c r="CX280" s="143">
        <v>9758.8026432587048</v>
      </c>
      <c r="CY280" s="131">
        <v>75281</v>
      </c>
      <c r="CZ280" s="229">
        <v>46207</v>
      </c>
      <c r="DA280" s="229">
        <v>177361</v>
      </c>
      <c r="DB280" s="216">
        <v>-131154</v>
      </c>
      <c r="DC280" s="229">
        <v>80821</v>
      </c>
      <c r="DD280" s="229">
        <v>58635</v>
      </c>
      <c r="DE280" s="151"/>
      <c r="DG280" s="229">
        <v>556</v>
      </c>
      <c r="DH280" s="229">
        <v>1495</v>
      </c>
      <c r="DI280" s="229">
        <v>10353</v>
      </c>
      <c r="DJ280" s="229">
        <v>11028</v>
      </c>
      <c r="DK280" s="229">
        <v>0</v>
      </c>
      <c r="DL280" s="229">
        <v>1024</v>
      </c>
      <c r="DM280" s="229">
        <v>-1699</v>
      </c>
      <c r="DN280" s="130">
        <v>0</v>
      </c>
      <c r="DO280" s="131">
        <v>0</v>
      </c>
      <c r="DP280" s="130">
        <v>0</v>
      </c>
      <c r="DQ280" s="130">
        <v>-1699</v>
      </c>
      <c r="DR280" s="130">
        <v>22100</v>
      </c>
      <c r="DS280" s="130">
        <v>8622</v>
      </c>
      <c r="DT280" s="167"/>
      <c r="DU280" s="183">
        <v>-403</v>
      </c>
      <c r="DV280" s="183">
        <v>-5454</v>
      </c>
      <c r="DW280" s="180">
        <v>-1723</v>
      </c>
      <c r="DX280" s="130">
        <v>80821</v>
      </c>
      <c r="DY280" s="229">
        <v>70514</v>
      </c>
      <c r="DZ280" s="229">
        <v>4842</v>
      </c>
      <c r="EA280" s="229">
        <v>5465</v>
      </c>
      <c r="EB280" s="212">
        <v>21</v>
      </c>
      <c r="EC280" s="208"/>
      <c r="ED280" s="183">
        <v>223.25735294117601</v>
      </c>
      <c r="EE280" s="3">
        <v>70718</v>
      </c>
      <c r="EF280" s="183">
        <v>73745</v>
      </c>
      <c r="EG280" s="130">
        <v>76277</v>
      </c>
      <c r="EH280" s="130"/>
      <c r="EI280" s="130"/>
      <c r="EJ280" s="130"/>
      <c r="EK280" s="183">
        <v>-11075</v>
      </c>
      <c r="EL280" s="183">
        <v>71</v>
      </c>
      <c r="EM280" s="183">
        <v>190</v>
      </c>
      <c r="EN280" s="226">
        <v>-10756</v>
      </c>
      <c r="EO280" s="226">
        <v>25</v>
      </c>
      <c r="EP280" s="226">
        <v>207</v>
      </c>
      <c r="EQ280" s="226">
        <v>-12023</v>
      </c>
      <c r="ER280" s="230">
        <v>15</v>
      </c>
      <c r="ES280" s="230">
        <v>1663</v>
      </c>
      <c r="ET280" s="3">
        <v>10000</v>
      </c>
      <c r="EU280" s="211">
        <v>9904</v>
      </c>
      <c r="EV280" s="183">
        <v>20250</v>
      </c>
      <c r="EW280" s="183">
        <v>-3119</v>
      </c>
      <c r="EX280" s="130">
        <v>15000</v>
      </c>
      <c r="EY280" s="183">
        <v>4656</v>
      </c>
      <c r="EZ280" s="3">
        <v>73587</v>
      </c>
      <c r="FA280" s="3">
        <v>31460</v>
      </c>
      <c r="FB280" s="3">
        <v>42127</v>
      </c>
      <c r="FC280" s="3">
        <v>46959</v>
      </c>
      <c r="FD280" s="226">
        <v>73567</v>
      </c>
      <c r="FE280" s="183">
        <v>46793</v>
      </c>
      <c r="FF280" s="183">
        <v>26774</v>
      </c>
      <c r="FG280" s="183">
        <v>47431</v>
      </c>
      <c r="FH280" s="230">
        <v>87767</v>
      </c>
      <c r="FI280" s="130">
        <v>55105</v>
      </c>
      <c r="FJ280" s="130">
        <v>32662</v>
      </c>
      <c r="FK280" s="130">
        <v>49693</v>
      </c>
      <c r="FL280" s="29">
        <v>8727.5913389985108</v>
      </c>
      <c r="FM280" s="139">
        <v>8490.276556239618</v>
      </c>
      <c r="FN280" s="139">
        <v>9266.8902258605394</v>
      </c>
      <c r="FO280" s="172">
        <f t="shared" si="12"/>
        <v>3357.8095238095239</v>
      </c>
      <c r="FP280" s="170">
        <f t="shared" si="13"/>
        <v>165.58879198192741</v>
      </c>
      <c r="FR280" s="175"/>
      <c r="FS280" s="195"/>
      <c r="FV280" s="175">
        <v>7226</v>
      </c>
      <c r="FW280" s="2">
        <f t="shared" si="14"/>
        <v>-7226</v>
      </c>
      <c r="FZ280" s="186"/>
      <c r="GA280" s="2"/>
      <c r="GB280" s="2"/>
    </row>
    <row r="281" spans="1:184" ht="13" x14ac:dyDescent="0.3">
      <c r="A281" s="77">
        <v>918</v>
      </c>
      <c r="B281" s="75" t="s">
        <v>270</v>
      </c>
      <c r="C281" s="179">
        <v>2285</v>
      </c>
      <c r="D281" s="138"/>
      <c r="E281" s="142">
        <v>-1.9904988123515439</v>
      </c>
      <c r="F281" s="142">
        <v>77.632137300202743</v>
      </c>
      <c r="G281" s="183">
        <v>-6533.916849015317</v>
      </c>
      <c r="H281" s="144"/>
      <c r="I281" s="186"/>
      <c r="K281" s="210">
        <v>22.455315145813735</v>
      </c>
      <c r="L281" s="143">
        <v>109.40919037199124</v>
      </c>
      <c r="M281" s="146">
        <v>3.2342099666832067</v>
      </c>
      <c r="N281" s="143">
        <v>12347.483588621444</v>
      </c>
      <c r="O281" s="138">
        <v>10547</v>
      </c>
      <c r="P281" s="143">
        <v>7553</v>
      </c>
      <c r="Q281" s="184">
        <v>22092</v>
      </c>
      <c r="R281" s="184">
        <v>-14539</v>
      </c>
      <c r="S281" s="139">
        <v>8355</v>
      </c>
      <c r="T281" s="138">
        <v>5301</v>
      </c>
      <c r="U281" s="151"/>
      <c r="W281" s="183">
        <v>-101</v>
      </c>
      <c r="X281" s="183">
        <v>3</v>
      </c>
      <c r="Y281" s="184">
        <v>-981</v>
      </c>
      <c r="Z281" s="130">
        <v>378</v>
      </c>
      <c r="AA281" s="131">
        <v>0</v>
      </c>
      <c r="AB281" s="131">
        <v>3</v>
      </c>
      <c r="AC281" s="184">
        <v>-1362</v>
      </c>
      <c r="AD281" s="183">
        <v>0</v>
      </c>
      <c r="AE281" s="184">
        <v>0</v>
      </c>
      <c r="AF281" s="183">
        <v>0</v>
      </c>
      <c r="AG281" s="183">
        <v>-1362</v>
      </c>
      <c r="AH281" s="183">
        <v>-1030</v>
      </c>
      <c r="AI281" s="183">
        <v>-985</v>
      </c>
      <c r="AJ281" s="167"/>
      <c r="AK281" s="183">
        <v>288</v>
      </c>
      <c r="AL281" s="183">
        <v>-278</v>
      </c>
      <c r="AM281" s="180">
        <v>-6471</v>
      </c>
      <c r="AN281" s="139">
        <v>8355</v>
      </c>
      <c r="AO281" s="138">
        <v>7146</v>
      </c>
      <c r="AP281" s="184">
        <v>447</v>
      </c>
      <c r="AQ281" s="138">
        <v>762</v>
      </c>
      <c r="AR281" s="109">
        <v>22.25</v>
      </c>
      <c r="AS281" s="144"/>
      <c r="AT281" s="139">
        <v>292</v>
      </c>
      <c r="AU281" s="228">
        <v>2293</v>
      </c>
      <c r="AV281" s="138"/>
      <c r="AW281" s="224">
        <v>0.33769458504440836</v>
      </c>
      <c r="AX281" s="225">
        <v>98.367011814076534</v>
      </c>
      <c r="AY281" s="139">
        <v>-7928.0418665503703</v>
      </c>
      <c r="AZ281" s="144"/>
      <c r="BA281"/>
      <c r="BC281" s="189">
        <v>16.65958843287904</v>
      </c>
      <c r="BD281" s="183">
        <v>1039.2498909725252</v>
      </c>
      <c r="BE281" s="140">
        <v>34.727900662780485</v>
      </c>
      <c r="BF281" s="139">
        <v>10922.808547754033</v>
      </c>
      <c r="BG281" s="184">
        <v>10116</v>
      </c>
      <c r="BH281" s="216">
        <v>7339</v>
      </c>
      <c r="BI281" s="216">
        <v>21085</v>
      </c>
      <c r="BJ281" s="216">
        <v>-13746</v>
      </c>
      <c r="BK281" s="216">
        <v>8624</v>
      </c>
      <c r="BL281" s="216">
        <v>5960</v>
      </c>
      <c r="BM281" s="151"/>
      <c r="BO281" s="216">
        <v>-137</v>
      </c>
      <c r="BP281" s="216">
        <v>4</v>
      </c>
      <c r="BQ281" s="216">
        <v>705</v>
      </c>
      <c r="BR281" s="216">
        <v>637</v>
      </c>
      <c r="BS281" s="216">
        <v>0</v>
      </c>
      <c r="BT281" s="216">
        <v>527</v>
      </c>
      <c r="BU281" s="216">
        <v>-459</v>
      </c>
      <c r="BV281" s="183">
        <v>0</v>
      </c>
      <c r="BW281" s="184">
        <v>0</v>
      </c>
      <c r="BX281" s="183">
        <v>0</v>
      </c>
      <c r="BY281" s="183">
        <v>-459</v>
      </c>
      <c r="BZ281" s="183">
        <v>-1489</v>
      </c>
      <c r="CA281" s="183">
        <v>138</v>
      </c>
      <c r="CB281" s="167"/>
      <c r="CC281" s="183">
        <v>282</v>
      </c>
      <c r="CD281" s="183">
        <v>-364</v>
      </c>
      <c r="CE281" s="180">
        <v>-3194</v>
      </c>
      <c r="CF281" s="139">
        <v>8624</v>
      </c>
      <c r="CG281" s="216">
        <v>7149</v>
      </c>
      <c r="CH281" s="216">
        <v>712</v>
      </c>
      <c r="CI281" s="216">
        <v>763</v>
      </c>
      <c r="CJ281" s="212">
        <v>22.25</v>
      </c>
      <c r="CK281" s="144"/>
      <c r="CL281" s="130">
        <v>167</v>
      </c>
      <c r="CM281" s="228">
        <v>2292</v>
      </c>
      <c r="CN281" s="138"/>
      <c r="CO281" s="142">
        <v>1.351010101010101</v>
      </c>
      <c r="CP281" s="142">
        <v>84.083966134241081</v>
      </c>
      <c r="CQ281" s="183">
        <v>-7061.9546247818498</v>
      </c>
      <c r="CR281" s="144"/>
      <c r="CS281"/>
      <c r="CU281" s="232">
        <v>23.961207916108176</v>
      </c>
      <c r="CV281" s="143">
        <v>719.45898778359515</v>
      </c>
      <c r="CW281" s="146">
        <v>26.422801703323238</v>
      </c>
      <c r="CX281" s="143">
        <v>9938.4816753926698</v>
      </c>
      <c r="CY281" s="131">
        <v>9886</v>
      </c>
      <c r="CZ281" s="229">
        <v>7190</v>
      </c>
      <c r="DA281" s="229">
        <v>20289</v>
      </c>
      <c r="DB281" s="216">
        <v>-13099</v>
      </c>
      <c r="DC281" s="229">
        <v>9020</v>
      </c>
      <c r="DD281" s="229">
        <v>6704</v>
      </c>
      <c r="DE281" s="151"/>
      <c r="DG281" s="229">
        <v>-130</v>
      </c>
      <c r="DH281" s="229">
        <v>3</v>
      </c>
      <c r="DI281" s="229">
        <v>2498</v>
      </c>
      <c r="DJ281" s="229">
        <v>735</v>
      </c>
      <c r="DK281" s="229">
        <v>0</v>
      </c>
      <c r="DL281" s="229">
        <v>0</v>
      </c>
      <c r="DM281" s="229">
        <v>1763</v>
      </c>
      <c r="DN281" s="130">
        <v>0</v>
      </c>
      <c r="DO281" s="131">
        <v>0</v>
      </c>
      <c r="DP281" s="130">
        <v>0</v>
      </c>
      <c r="DQ281" s="130">
        <v>1763</v>
      </c>
      <c r="DR281" s="130">
        <v>274</v>
      </c>
      <c r="DS281" s="130">
        <v>2105</v>
      </c>
      <c r="DT281" s="167"/>
      <c r="DU281" s="183">
        <v>-428</v>
      </c>
      <c r="DV281" s="183">
        <v>-1803</v>
      </c>
      <c r="DW281" s="180">
        <v>1994</v>
      </c>
      <c r="DX281" s="130">
        <v>9020</v>
      </c>
      <c r="DY281" s="229">
        <v>7448</v>
      </c>
      <c r="DZ281" s="229">
        <v>874</v>
      </c>
      <c r="EA281" s="229">
        <v>698</v>
      </c>
      <c r="EB281" s="212">
        <v>22.25</v>
      </c>
      <c r="EC281" s="208"/>
      <c r="ED281" s="183">
        <v>18.764705882352999</v>
      </c>
      <c r="EE281" s="3">
        <v>9032</v>
      </c>
      <c r="EF281" s="183">
        <v>8770</v>
      </c>
      <c r="EG281" s="130">
        <v>8151</v>
      </c>
      <c r="EH281" s="130"/>
      <c r="EI281" s="130">
        <v>310</v>
      </c>
      <c r="EJ281" s="130">
        <v>320</v>
      </c>
      <c r="EK281" s="183">
        <v>-5678</v>
      </c>
      <c r="EL281" s="183">
        <v>97</v>
      </c>
      <c r="EM281" s="183">
        <v>95</v>
      </c>
      <c r="EN281" s="226">
        <v>-3418</v>
      </c>
      <c r="EO281" s="226">
        <v>45</v>
      </c>
      <c r="EP281" s="226">
        <v>41</v>
      </c>
      <c r="EQ281" s="226">
        <v>-510</v>
      </c>
      <c r="ER281" s="230">
        <v>0</v>
      </c>
      <c r="ES281" s="230">
        <v>399</v>
      </c>
      <c r="ET281" s="3">
        <v>5250</v>
      </c>
      <c r="EU281" s="211">
        <v>0</v>
      </c>
      <c r="EV281" s="183">
        <v>5117</v>
      </c>
      <c r="EW281" s="183">
        <v>233</v>
      </c>
      <c r="EX281" s="130">
        <v>0</v>
      </c>
      <c r="EY281" s="183">
        <v>-121</v>
      </c>
      <c r="EZ281" s="3">
        <v>13422</v>
      </c>
      <c r="FA281" s="3">
        <v>13057</v>
      </c>
      <c r="FB281" s="3">
        <v>365</v>
      </c>
      <c r="FC281" s="3">
        <v>2183</v>
      </c>
      <c r="FD281" s="226">
        <v>18408</v>
      </c>
      <c r="FE281" s="183">
        <v>17810</v>
      </c>
      <c r="FF281" s="183">
        <v>598</v>
      </c>
      <c r="FG281" s="183">
        <v>2183</v>
      </c>
      <c r="FH281" s="230">
        <v>16484</v>
      </c>
      <c r="FI281" s="130">
        <v>16007</v>
      </c>
      <c r="FJ281" s="130">
        <v>477</v>
      </c>
      <c r="FK281" s="130">
        <v>2183</v>
      </c>
      <c r="FL281" s="29">
        <v>7059.5185995623633</v>
      </c>
      <c r="FM281" s="139">
        <v>9129.5246402093326</v>
      </c>
      <c r="FN281" s="139">
        <v>8231.2390924956362</v>
      </c>
      <c r="FO281" s="172">
        <f t="shared" si="12"/>
        <v>334.74157303370788</v>
      </c>
      <c r="FP281" s="170">
        <f t="shared" si="13"/>
        <v>146.04780673372943</v>
      </c>
      <c r="FR281" s="175"/>
      <c r="FS281" s="195"/>
      <c r="FV281" s="175">
        <v>255</v>
      </c>
      <c r="FW281" s="2">
        <f t="shared" si="14"/>
        <v>-255</v>
      </c>
      <c r="FZ281" s="186"/>
      <c r="GA281" s="2"/>
      <c r="GB281" s="2"/>
    </row>
    <row r="282" spans="1:184" ht="13" x14ac:dyDescent="0.3">
      <c r="A282" s="77">
        <v>921</v>
      </c>
      <c r="B282" s="75" t="s">
        <v>271</v>
      </c>
      <c r="C282" s="179">
        <v>2058</v>
      </c>
      <c r="D282" s="138"/>
      <c r="E282" s="142">
        <v>0.98942598187311182</v>
      </c>
      <c r="F282" s="142">
        <v>45.481895347587837</v>
      </c>
      <c r="G282" s="183">
        <v>-3280.3692905733724</v>
      </c>
      <c r="H282" s="144"/>
      <c r="I282" s="186"/>
      <c r="K282" s="210">
        <v>52.929482577723782</v>
      </c>
      <c r="L282" s="143">
        <v>349.3683187560739</v>
      </c>
      <c r="M282" s="146">
        <v>13.601192018657684</v>
      </c>
      <c r="N282" s="143">
        <v>9375.6073858114669</v>
      </c>
      <c r="O282" s="138">
        <v>7158</v>
      </c>
      <c r="P282" s="143">
        <v>2734</v>
      </c>
      <c r="Q282" s="184">
        <v>18210</v>
      </c>
      <c r="R282" s="184">
        <v>-15476</v>
      </c>
      <c r="S282" s="139">
        <v>6026</v>
      </c>
      <c r="T282" s="138">
        <v>9854</v>
      </c>
      <c r="U282" s="151"/>
      <c r="W282" s="183">
        <v>-102</v>
      </c>
      <c r="X282" s="183">
        <v>251</v>
      </c>
      <c r="Y282" s="184">
        <v>553</v>
      </c>
      <c r="Z282" s="130">
        <v>1677</v>
      </c>
      <c r="AA282" s="130">
        <v>0</v>
      </c>
      <c r="AB282" s="130">
        <v>0</v>
      </c>
      <c r="AC282" s="184">
        <v>-1124</v>
      </c>
      <c r="AD282" s="183">
        <v>0</v>
      </c>
      <c r="AE282" s="183">
        <v>0</v>
      </c>
      <c r="AF282" s="183">
        <v>0</v>
      </c>
      <c r="AG282" s="183">
        <v>-1124</v>
      </c>
      <c r="AH282" s="183">
        <v>-423</v>
      </c>
      <c r="AI282" s="183">
        <v>553</v>
      </c>
      <c r="AJ282" s="167"/>
      <c r="AK282" s="183">
        <v>319</v>
      </c>
      <c r="AL282" s="183">
        <v>-560</v>
      </c>
      <c r="AM282" s="180">
        <v>132</v>
      </c>
      <c r="AN282" s="139">
        <v>6026</v>
      </c>
      <c r="AO282" s="138">
        <v>4919</v>
      </c>
      <c r="AP282" s="184">
        <v>548</v>
      </c>
      <c r="AQ282" s="138">
        <v>559</v>
      </c>
      <c r="AR282" s="109">
        <v>21.5</v>
      </c>
      <c r="AS282" s="144"/>
      <c r="AT282" s="139">
        <v>126</v>
      </c>
      <c r="AU282" s="228">
        <v>2014</v>
      </c>
      <c r="AV282" s="138"/>
      <c r="AW282" s="224">
        <v>0.2144425187752744</v>
      </c>
      <c r="AX282" s="225">
        <v>49.689872740883331</v>
      </c>
      <c r="AY282" s="139">
        <v>-3926.5143992055609</v>
      </c>
      <c r="AZ282" s="144"/>
      <c r="BA282"/>
      <c r="BC282" s="189">
        <v>48.31528279181709</v>
      </c>
      <c r="BD282" s="183">
        <v>307.34856007944387</v>
      </c>
      <c r="BE282" s="140">
        <v>10.979444066478763</v>
      </c>
      <c r="BF282" s="139">
        <v>10217.477656405164</v>
      </c>
      <c r="BG282" s="184">
        <v>7483</v>
      </c>
      <c r="BH282" s="216">
        <v>3189</v>
      </c>
      <c r="BI282" s="216">
        <v>18711</v>
      </c>
      <c r="BJ282" s="216">
        <v>-15522</v>
      </c>
      <c r="BK282" s="216">
        <v>5883</v>
      </c>
      <c r="BL282" s="216">
        <v>9630</v>
      </c>
      <c r="BM282" s="151"/>
      <c r="BO282" s="216">
        <v>-75</v>
      </c>
      <c r="BP282" s="216">
        <v>241</v>
      </c>
      <c r="BQ282" s="216">
        <v>157</v>
      </c>
      <c r="BR282" s="216">
        <v>627</v>
      </c>
      <c r="BS282" s="216">
        <v>0</v>
      </c>
      <c r="BT282" s="216">
        <v>268</v>
      </c>
      <c r="BU282" s="216">
        <v>-738</v>
      </c>
      <c r="BV282" s="183">
        <v>0</v>
      </c>
      <c r="BW282" s="183">
        <v>0</v>
      </c>
      <c r="BX282" s="183">
        <v>0</v>
      </c>
      <c r="BY282" s="183">
        <v>-738</v>
      </c>
      <c r="BZ282" s="183">
        <v>-1162</v>
      </c>
      <c r="CA282" s="183">
        <v>-330</v>
      </c>
      <c r="CB282" s="167"/>
      <c r="CC282" s="183">
        <v>231</v>
      </c>
      <c r="CD282" s="183">
        <v>-545</v>
      </c>
      <c r="CE282" s="180">
        <v>-1167</v>
      </c>
      <c r="CF282" s="139">
        <v>5883</v>
      </c>
      <c r="CG282" s="216">
        <v>4707</v>
      </c>
      <c r="CH282" s="216">
        <v>581</v>
      </c>
      <c r="CI282" s="216">
        <v>595</v>
      </c>
      <c r="CJ282" s="212">
        <v>21.5</v>
      </c>
      <c r="CK282" s="144"/>
      <c r="CL282" s="130">
        <v>86</v>
      </c>
      <c r="CM282" s="228">
        <v>1972</v>
      </c>
      <c r="CN282" s="138"/>
      <c r="CO282" s="142">
        <v>2.0755244755244755</v>
      </c>
      <c r="CP282" s="142">
        <v>47.804321966693102</v>
      </c>
      <c r="CQ282" s="183">
        <v>-3466.5314401622718</v>
      </c>
      <c r="CR282" s="144"/>
      <c r="CS282"/>
      <c r="CU282" s="232">
        <v>50.212421606311956</v>
      </c>
      <c r="CV282" s="143">
        <v>864.60446247464506</v>
      </c>
      <c r="CW282" s="146">
        <v>30.555555555555557</v>
      </c>
      <c r="CX282" s="143">
        <v>10328.093306288032</v>
      </c>
      <c r="CY282" s="131">
        <v>6938</v>
      </c>
      <c r="CZ282" s="229">
        <v>2958</v>
      </c>
      <c r="DA282" s="229">
        <v>18939</v>
      </c>
      <c r="DB282" s="216">
        <v>-15981</v>
      </c>
      <c r="DC282" s="229">
        <v>6264</v>
      </c>
      <c r="DD282" s="229">
        <v>10954</v>
      </c>
      <c r="DE282" s="151"/>
      <c r="DG282" s="229">
        <v>-85</v>
      </c>
      <c r="DH282" s="229">
        <v>247</v>
      </c>
      <c r="DI282" s="229">
        <v>1399</v>
      </c>
      <c r="DJ282" s="229">
        <v>628</v>
      </c>
      <c r="DK282" s="229">
        <v>0</v>
      </c>
      <c r="DL282" s="229">
        <v>0</v>
      </c>
      <c r="DM282" s="229">
        <v>771</v>
      </c>
      <c r="DN282" s="130">
        <v>0</v>
      </c>
      <c r="DO282" s="130">
        <v>0</v>
      </c>
      <c r="DP282" s="130">
        <v>0</v>
      </c>
      <c r="DQ282" s="130">
        <v>771</v>
      </c>
      <c r="DR282" s="130">
        <v>-67</v>
      </c>
      <c r="DS282" s="130">
        <v>1410</v>
      </c>
      <c r="DT282" s="167"/>
      <c r="DU282" s="183">
        <v>-338</v>
      </c>
      <c r="DV282" s="183">
        <v>-630</v>
      </c>
      <c r="DW282" s="180">
        <v>753</v>
      </c>
      <c r="DX282" s="130">
        <v>6264</v>
      </c>
      <c r="DY282" s="229">
        <v>4927</v>
      </c>
      <c r="DZ282" s="229">
        <v>664</v>
      </c>
      <c r="EA282" s="229">
        <v>673</v>
      </c>
      <c r="EB282" s="212">
        <v>21.5</v>
      </c>
      <c r="EC282" s="208"/>
      <c r="ED282" s="183">
        <v>129.57352941176401</v>
      </c>
      <c r="EE282" s="3">
        <v>9339</v>
      </c>
      <c r="EF282" s="183">
        <v>9355</v>
      </c>
      <c r="EG282" s="130">
        <v>10420</v>
      </c>
      <c r="EH282" s="130"/>
      <c r="EI282" s="130"/>
      <c r="EJ282" s="130">
        <v>280</v>
      </c>
      <c r="EK282" s="183">
        <v>-421</v>
      </c>
      <c r="EL282" s="183">
        <v>0</v>
      </c>
      <c r="EM282" s="183">
        <v>0</v>
      </c>
      <c r="EN282" s="226">
        <v>-1245</v>
      </c>
      <c r="EO282" s="226">
        <v>0</v>
      </c>
      <c r="EP282" s="226">
        <v>408</v>
      </c>
      <c r="EQ282" s="226">
        <v>-703</v>
      </c>
      <c r="ER282" s="230">
        <v>0</v>
      </c>
      <c r="ES282" s="230">
        <v>46</v>
      </c>
      <c r="ET282" s="3">
        <v>1</v>
      </c>
      <c r="EU282" s="211">
        <v>0</v>
      </c>
      <c r="EV282" s="183">
        <v>0</v>
      </c>
      <c r="EW282" s="183">
        <v>1000</v>
      </c>
      <c r="EX282" s="130">
        <v>2000</v>
      </c>
      <c r="EY282" s="183">
        <v>-1000</v>
      </c>
      <c r="EZ282" s="3">
        <v>6778</v>
      </c>
      <c r="FA282" s="3">
        <v>6233</v>
      </c>
      <c r="FB282" s="3">
        <v>545</v>
      </c>
      <c r="FC282" s="3">
        <v>945</v>
      </c>
      <c r="FD282" s="226">
        <v>7232</v>
      </c>
      <c r="FE282" s="183">
        <v>5702</v>
      </c>
      <c r="FF282" s="183">
        <v>1530</v>
      </c>
      <c r="FG282" s="183">
        <v>945</v>
      </c>
      <c r="FH282" s="230">
        <v>7603</v>
      </c>
      <c r="FI282" s="130">
        <v>6918</v>
      </c>
      <c r="FJ282" s="130">
        <v>685</v>
      </c>
      <c r="FK282" s="130">
        <v>945</v>
      </c>
      <c r="FL282" s="29">
        <v>6497.0845481049564</v>
      </c>
      <c r="FM282" s="139">
        <v>7040.2184707050646</v>
      </c>
      <c r="FN282" s="139">
        <v>6877.2819472616629</v>
      </c>
      <c r="FO282" s="172">
        <f t="shared" si="12"/>
        <v>229.16279069767441</v>
      </c>
      <c r="FP282" s="170">
        <f t="shared" si="13"/>
        <v>116.20831171281664</v>
      </c>
      <c r="FR282" s="175"/>
      <c r="FS282" s="195"/>
      <c r="FV282" s="175">
        <v>804</v>
      </c>
      <c r="FW282" s="2">
        <f t="shared" si="14"/>
        <v>-804</v>
      </c>
      <c r="FZ282" s="186"/>
      <c r="GA282" s="2"/>
      <c r="GB282" s="2"/>
    </row>
    <row r="283" spans="1:184" ht="13" x14ac:dyDescent="0.3">
      <c r="A283" s="77">
        <v>922</v>
      </c>
      <c r="B283" s="75" t="s">
        <v>272</v>
      </c>
      <c r="C283" s="179">
        <v>4393</v>
      </c>
      <c r="D283" s="138"/>
      <c r="E283" s="142">
        <v>-6.25E-2</v>
      </c>
      <c r="F283" s="142">
        <v>72.46251874062969</v>
      </c>
      <c r="G283" s="183">
        <v>-3811.290689733667</v>
      </c>
      <c r="H283" s="144"/>
      <c r="I283" s="186"/>
      <c r="K283" s="210">
        <v>32.723993201290369</v>
      </c>
      <c r="L283" s="143">
        <v>195.31072160254951</v>
      </c>
      <c r="M283" s="146">
        <v>10.372615262321146</v>
      </c>
      <c r="N283" s="143">
        <v>6872.7521056225814</v>
      </c>
      <c r="O283" s="138">
        <v>8007</v>
      </c>
      <c r="P283" s="143">
        <v>2910</v>
      </c>
      <c r="Q283" s="184">
        <v>26934</v>
      </c>
      <c r="R283" s="184">
        <v>-24024</v>
      </c>
      <c r="S283" s="139">
        <v>16233</v>
      </c>
      <c r="T283" s="138">
        <v>7554</v>
      </c>
      <c r="U283" s="151"/>
      <c r="W283" s="183">
        <v>-36</v>
      </c>
      <c r="X283" s="183">
        <v>135</v>
      </c>
      <c r="Y283" s="184">
        <v>-138</v>
      </c>
      <c r="Z283" s="130">
        <v>1532</v>
      </c>
      <c r="AA283" s="130">
        <v>0</v>
      </c>
      <c r="AB283" s="130">
        <v>0</v>
      </c>
      <c r="AC283" s="184">
        <v>-1670</v>
      </c>
      <c r="AD283" s="184">
        <v>39</v>
      </c>
      <c r="AE283" s="184">
        <v>0</v>
      </c>
      <c r="AF283" s="183">
        <v>0</v>
      </c>
      <c r="AG283" s="183">
        <v>-1631</v>
      </c>
      <c r="AH283" s="183">
        <v>655</v>
      </c>
      <c r="AI283" s="183">
        <v>-186</v>
      </c>
      <c r="AJ283" s="167"/>
      <c r="AK283" s="183">
        <v>-8</v>
      </c>
      <c r="AL283" s="183">
        <v>-1511</v>
      </c>
      <c r="AM283" s="180">
        <v>-1408</v>
      </c>
      <c r="AN283" s="139">
        <v>16233</v>
      </c>
      <c r="AO283" s="138">
        <v>14493</v>
      </c>
      <c r="AP283" s="184">
        <v>506</v>
      </c>
      <c r="AQ283" s="138">
        <v>1234</v>
      </c>
      <c r="AR283" s="109">
        <v>21.5</v>
      </c>
      <c r="AS283" s="144"/>
      <c r="AT283" s="139">
        <v>262</v>
      </c>
      <c r="AU283" s="228">
        <v>4355</v>
      </c>
      <c r="AV283" s="138"/>
      <c r="AW283" s="224">
        <v>0.66590460355398529</v>
      </c>
      <c r="AX283" s="225">
        <v>76.34276486695218</v>
      </c>
      <c r="AY283" s="139">
        <v>-3653.5017221584385</v>
      </c>
      <c r="AZ283" s="144"/>
      <c r="BA283"/>
      <c r="BC283" s="189">
        <v>30.140628503699908</v>
      </c>
      <c r="BD283" s="183">
        <v>820.8955223880597</v>
      </c>
      <c r="BE283" s="140">
        <v>44.998793020208289</v>
      </c>
      <c r="BF283" s="139">
        <v>6658.5533869115961</v>
      </c>
      <c r="BG283" s="184">
        <v>8211</v>
      </c>
      <c r="BH283" s="216">
        <v>3011</v>
      </c>
      <c r="BI283" s="216">
        <v>26989</v>
      </c>
      <c r="BJ283" s="216">
        <v>-23978</v>
      </c>
      <c r="BK283" s="216">
        <v>16960</v>
      </c>
      <c r="BL283" s="216">
        <v>8515</v>
      </c>
      <c r="BM283" s="151"/>
      <c r="BO283" s="216">
        <v>-57</v>
      </c>
      <c r="BP283" s="216">
        <v>101</v>
      </c>
      <c r="BQ283" s="216">
        <v>1541</v>
      </c>
      <c r="BR283" s="216">
        <v>1566</v>
      </c>
      <c r="BS283" s="216">
        <v>0</v>
      </c>
      <c r="BT283" s="216">
        <v>0</v>
      </c>
      <c r="BU283" s="216">
        <v>-25</v>
      </c>
      <c r="BV283" s="184">
        <v>39</v>
      </c>
      <c r="BW283" s="184">
        <v>0</v>
      </c>
      <c r="BX283" s="183">
        <v>0</v>
      </c>
      <c r="BY283" s="183">
        <v>14</v>
      </c>
      <c r="BZ283" s="183">
        <v>669</v>
      </c>
      <c r="CA283" s="183">
        <v>1409</v>
      </c>
      <c r="CB283" s="167"/>
      <c r="CC283" s="183">
        <v>-479</v>
      </c>
      <c r="CD283" s="183">
        <v>-1110</v>
      </c>
      <c r="CE283" s="180">
        <v>795</v>
      </c>
      <c r="CF283" s="139">
        <v>16960</v>
      </c>
      <c r="CG283" s="216">
        <v>15175</v>
      </c>
      <c r="CH283" s="216">
        <v>525</v>
      </c>
      <c r="CI283" s="216">
        <v>1260</v>
      </c>
      <c r="CJ283" s="212">
        <v>21.5</v>
      </c>
      <c r="CK283" s="144"/>
      <c r="CL283" s="130">
        <v>194</v>
      </c>
      <c r="CM283" s="228">
        <v>4367</v>
      </c>
      <c r="CN283" s="138"/>
      <c r="CO283" s="142">
        <v>2.7031650983746793</v>
      </c>
      <c r="CP283" s="142">
        <v>61.95789754180268</v>
      </c>
      <c r="CQ283" s="183">
        <v>-3241.1266315548432</v>
      </c>
      <c r="CR283" s="144"/>
      <c r="CS283"/>
      <c r="CU283" s="232">
        <v>37.031787811297832</v>
      </c>
      <c r="CV283" s="143">
        <v>572.0174032516602</v>
      </c>
      <c r="CW283" s="146">
        <v>30.936821389793703</v>
      </c>
      <c r="CX283" s="143">
        <v>6748.7978016945272</v>
      </c>
      <c r="CY283" s="131">
        <v>8083</v>
      </c>
      <c r="CZ283" s="229">
        <v>2930</v>
      </c>
      <c r="DA283" s="229">
        <v>26907</v>
      </c>
      <c r="DB283" s="216">
        <v>-23977</v>
      </c>
      <c r="DC283" s="229">
        <v>17942</v>
      </c>
      <c r="DD283" s="229">
        <v>9150</v>
      </c>
      <c r="DE283" s="151"/>
      <c r="DG283" s="229">
        <v>-66</v>
      </c>
      <c r="DH283" s="229">
        <v>39</v>
      </c>
      <c r="DI283" s="229">
        <v>3088</v>
      </c>
      <c r="DJ283" s="229">
        <v>1522</v>
      </c>
      <c r="DK283" s="229">
        <v>0</v>
      </c>
      <c r="DL283" s="229">
        <v>0</v>
      </c>
      <c r="DM283" s="229">
        <v>1566</v>
      </c>
      <c r="DN283" s="131">
        <v>39</v>
      </c>
      <c r="DO283" s="131">
        <v>0</v>
      </c>
      <c r="DP283" s="130">
        <v>0</v>
      </c>
      <c r="DQ283" s="130">
        <v>1605</v>
      </c>
      <c r="DR283" s="130">
        <v>2273</v>
      </c>
      <c r="DS283" s="130">
        <v>2990</v>
      </c>
      <c r="DT283" s="167"/>
      <c r="DU283" s="183">
        <v>312</v>
      </c>
      <c r="DV283" s="183">
        <v>-1097</v>
      </c>
      <c r="DW283" s="180">
        <v>1759</v>
      </c>
      <c r="DX283" s="130">
        <v>17942</v>
      </c>
      <c r="DY283" s="229">
        <v>16184</v>
      </c>
      <c r="DZ283" s="229">
        <v>575</v>
      </c>
      <c r="EA283" s="229">
        <v>1183</v>
      </c>
      <c r="EB283" s="212">
        <v>22</v>
      </c>
      <c r="EC283" s="208"/>
      <c r="ED283" s="183">
        <v>131.588235294117</v>
      </c>
      <c r="EE283" s="3">
        <v>16836</v>
      </c>
      <c r="EF283" s="183">
        <v>16703</v>
      </c>
      <c r="EG283" s="130">
        <v>16617</v>
      </c>
      <c r="EH283" s="130"/>
      <c r="EI283" s="130">
        <v>600</v>
      </c>
      <c r="EJ283" s="130"/>
      <c r="EK283" s="183">
        <v>-1672</v>
      </c>
      <c r="EL283" s="183">
        <v>398</v>
      </c>
      <c r="EM283" s="183">
        <v>52</v>
      </c>
      <c r="EN283" s="226">
        <v>-835</v>
      </c>
      <c r="EO283" s="226">
        <v>2</v>
      </c>
      <c r="EP283" s="226">
        <v>219</v>
      </c>
      <c r="EQ283" s="226">
        <v>-1348</v>
      </c>
      <c r="ER283" s="230">
        <v>4</v>
      </c>
      <c r="ES283" s="230">
        <v>113</v>
      </c>
      <c r="ET283" s="3">
        <v>0</v>
      </c>
      <c r="EU283" s="211">
        <v>1800</v>
      </c>
      <c r="EV283" s="183">
        <v>4000</v>
      </c>
      <c r="EW283" s="183">
        <v>0</v>
      </c>
      <c r="EX283" s="130">
        <v>7500</v>
      </c>
      <c r="EY283" s="183">
        <v>-10000</v>
      </c>
      <c r="EZ283" s="3">
        <v>14190</v>
      </c>
      <c r="FA283" s="3">
        <v>3180</v>
      </c>
      <c r="FB283" s="3">
        <v>11010</v>
      </c>
      <c r="FC283" s="3">
        <v>50</v>
      </c>
      <c r="FD283" s="226">
        <v>17080</v>
      </c>
      <c r="FE283" s="183">
        <v>6083</v>
      </c>
      <c r="FF283" s="183">
        <v>10997</v>
      </c>
      <c r="FG283" s="183">
        <v>0</v>
      </c>
      <c r="FH283" s="230">
        <v>13484</v>
      </c>
      <c r="FI283" s="130">
        <v>12197</v>
      </c>
      <c r="FJ283" s="130">
        <v>1287</v>
      </c>
      <c r="FK283" s="130">
        <v>0</v>
      </c>
      <c r="FL283" s="29">
        <v>3691.0994764397906</v>
      </c>
      <c r="FM283" s="139">
        <v>4504.7072330654419</v>
      </c>
      <c r="FN283" s="139">
        <v>3792.7639111518206</v>
      </c>
      <c r="FO283" s="172">
        <f t="shared" si="12"/>
        <v>735.63636363636363</v>
      </c>
      <c r="FP283" s="170">
        <f t="shared" si="13"/>
        <v>168.45348377292504</v>
      </c>
      <c r="FR283" s="175"/>
      <c r="FS283" s="195"/>
      <c r="FV283" s="175">
        <v>1863</v>
      </c>
      <c r="FW283" s="2">
        <f t="shared" si="14"/>
        <v>-1863</v>
      </c>
      <c r="FZ283" s="186"/>
      <c r="GA283" s="2"/>
      <c r="GB283" s="2"/>
    </row>
    <row r="284" spans="1:184" ht="13" x14ac:dyDescent="0.3">
      <c r="A284" s="77">
        <v>924</v>
      </c>
      <c r="B284" s="75" t="s">
        <v>273</v>
      </c>
      <c r="C284" s="179">
        <v>3166</v>
      </c>
      <c r="D284" s="138"/>
      <c r="E284" s="142">
        <v>1.6543535620052769</v>
      </c>
      <c r="F284" s="142">
        <v>75.41749386897115</v>
      </c>
      <c r="G284" s="183">
        <v>-4045.7991156032849</v>
      </c>
      <c r="H284" s="144"/>
      <c r="I284" s="186"/>
      <c r="K284" s="210">
        <v>33.2357902709402</v>
      </c>
      <c r="L284" s="143">
        <v>1016.4245104232469</v>
      </c>
      <c r="M284" s="146">
        <v>41.744677826349644</v>
      </c>
      <c r="N284" s="143">
        <v>8887.2394188250164</v>
      </c>
      <c r="O284" s="138">
        <v>6339</v>
      </c>
      <c r="P284" s="143">
        <v>6078</v>
      </c>
      <c r="Q284" s="184">
        <v>23885</v>
      </c>
      <c r="R284" s="184">
        <v>-17807</v>
      </c>
      <c r="S284" s="139">
        <v>10086</v>
      </c>
      <c r="T284" s="138">
        <v>9525</v>
      </c>
      <c r="U284" s="151"/>
      <c r="W284" s="183">
        <v>-74</v>
      </c>
      <c r="X284" s="183">
        <v>26</v>
      </c>
      <c r="Y284" s="184">
        <v>1756</v>
      </c>
      <c r="Z284" s="130">
        <v>1216</v>
      </c>
      <c r="AA284" s="131">
        <v>0</v>
      </c>
      <c r="AB284" s="130">
        <v>0</v>
      </c>
      <c r="AC284" s="184">
        <v>540</v>
      </c>
      <c r="AD284" s="183">
        <v>6</v>
      </c>
      <c r="AE284" s="183">
        <v>0</v>
      </c>
      <c r="AF284" s="183">
        <v>0</v>
      </c>
      <c r="AG284" s="183">
        <v>546</v>
      </c>
      <c r="AH284" s="183">
        <v>1899</v>
      </c>
      <c r="AI284" s="183">
        <v>-636</v>
      </c>
      <c r="AJ284" s="167"/>
      <c r="AK284" s="183">
        <v>-637</v>
      </c>
      <c r="AL284" s="183">
        <v>-1012</v>
      </c>
      <c r="AM284" s="180">
        <v>720</v>
      </c>
      <c r="AN284" s="139">
        <v>10086</v>
      </c>
      <c r="AO284" s="138">
        <v>8756</v>
      </c>
      <c r="AP284" s="184">
        <v>631</v>
      </c>
      <c r="AQ284" s="138">
        <v>699</v>
      </c>
      <c r="AR284" s="109">
        <v>22</v>
      </c>
      <c r="AS284" s="144"/>
      <c r="AT284" s="139">
        <v>29</v>
      </c>
      <c r="AU284" s="228">
        <v>3114</v>
      </c>
      <c r="AV284" s="138"/>
      <c r="AW284" s="224">
        <v>0.21073870642304673</v>
      </c>
      <c r="AX284" s="225">
        <v>77.285934028371216</v>
      </c>
      <c r="AY284" s="139">
        <v>-4247.5915221579962</v>
      </c>
      <c r="AZ284" s="144"/>
      <c r="BA284"/>
      <c r="BC284" s="189">
        <v>33.100672132358369</v>
      </c>
      <c r="BD284" s="183">
        <v>510.91843288375082</v>
      </c>
      <c r="BE284" s="140">
        <v>23.052479059981739</v>
      </c>
      <c r="BF284" s="139">
        <v>8089.5953757225434</v>
      </c>
      <c r="BG284" s="184">
        <v>6163</v>
      </c>
      <c r="BH284" s="216">
        <v>3405</v>
      </c>
      <c r="BI284" s="216">
        <v>23119</v>
      </c>
      <c r="BJ284" s="216">
        <v>-19714</v>
      </c>
      <c r="BK284" s="216">
        <v>10183</v>
      </c>
      <c r="BL284" s="216">
        <v>9816</v>
      </c>
      <c r="BM284" s="151"/>
      <c r="BO284" s="216">
        <v>-41</v>
      </c>
      <c r="BP284" s="216">
        <v>105</v>
      </c>
      <c r="BQ284" s="216">
        <v>349</v>
      </c>
      <c r="BR284" s="216">
        <v>1042</v>
      </c>
      <c r="BS284" s="216">
        <v>0</v>
      </c>
      <c r="BT284" s="216">
        <v>0</v>
      </c>
      <c r="BU284" s="216">
        <v>-693</v>
      </c>
      <c r="BV284" s="183">
        <v>6</v>
      </c>
      <c r="BW284" s="183">
        <v>0</v>
      </c>
      <c r="BX284" s="183">
        <v>0</v>
      </c>
      <c r="BY284" s="183">
        <v>-687</v>
      </c>
      <c r="BZ284" s="183">
        <v>1214</v>
      </c>
      <c r="CA284" s="183">
        <v>264</v>
      </c>
      <c r="CB284" s="167"/>
      <c r="CC284" s="183">
        <v>77</v>
      </c>
      <c r="CD284" s="183">
        <v>-1027</v>
      </c>
      <c r="CE284" s="180">
        <v>-435</v>
      </c>
      <c r="CF284" s="139">
        <v>10183</v>
      </c>
      <c r="CG284" s="216">
        <v>8863</v>
      </c>
      <c r="CH284" s="216">
        <v>606</v>
      </c>
      <c r="CI284" s="216">
        <v>714</v>
      </c>
      <c r="CJ284" s="212">
        <v>22</v>
      </c>
      <c r="CK284" s="144"/>
      <c r="CL284" s="130">
        <v>72</v>
      </c>
      <c r="CM284" s="228">
        <v>3065</v>
      </c>
      <c r="CN284" s="138"/>
      <c r="CO284" s="142">
        <v>1.055234954657873</v>
      </c>
      <c r="CP284" s="142">
        <v>75.206445923194096</v>
      </c>
      <c r="CQ284" s="183">
        <v>-4300.8156606851553</v>
      </c>
      <c r="CR284" s="144"/>
      <c r="CS284"/>
      <c r="CU284" s="232">
        <v>32.527480422444143</v>
      </c>
      <c r="CV284" s="143">
        <v>681.23980424143554</v>
      </c>
      <c r="CW284" s="146">
        <v>28.963630144795349</v>
      </c>
      <c r="CX284" s="143">
        <v>8584.9918433931489</v>
      </c>
      <c r="CY284" s="131">
        <v>6478</v>
      </c>
      <c r="CZ284" s="229">
        <v>3194</v>
      </c>
      <c r="DA284" s="229">
        <v>23878</v>
      </c>
      <c r="DB284" s="216">
        <v>-20684</v>
      </c>
      <c r="DC284" s="229">
        <v>10205</v>
      </c>
      <c r="DD284" s="229">
        <v>11547</v>
      </c>
      <c r="DE284" s="151"/>
      <c r="DG284" s="229">
        <v>-18</v>
      </c>
      <c r="DH284" s="229">
        <v>124</v>
      </c>
      <c r="DI284" s="229">
        <v>1174</v>
      </c>
      <c r="DJ284" s="229">
        <v>1084</v>
      </c>
      <c r="DK284" s="229">
        <v>0</v>
      </c>
      <c r="DL284" s="229">
        <v>0</v>
      </c>
      <c r="DM284" s="229">
        <v>90</v>
      </c>
      <c r="DN284" s="130">
        <v>6</v>
      </c>
      <c r="DO284" s="130">
        <v>0</v>
      </c>
      <c r="DP284" s="130">
        <v>0</v>
      </c>
      <c r="DQ284" s="130">
        <v>96</v>
      </c>
      <c r="DR284" s="130">
        <v>1312</v>
      </c>
      <c r="DS284" s="130">
        <v>1174</v>
      </c>
      <c r="DT284" s="167"/>
      <c r="DU284" s="183">
        <v>-222</v>
      </c>
      <c r="DV284" s="183">
        <v>-1107</v>
      </c>
      <c r="DW284" s="180">
        <v>36</v>
      </c>
      <c r="DX284" s="130">
        <v>10205</v>
      </c>
      <c r="DY284" s="229">
        <v>8876</v>
      </c>
      <c r="DZ284" s="229">
        <v>679</v>
      </c>
      <c r="EA284" s="229">
        <v>650</v>
      </c>
      <c r="EB284" s="212">
        <v>22.5</v>
      </c>
      <c r="EC284" s="208"/>
      <c r="ED284" s="183">
        <v>262.54411764705799</v>
      </c>
      <c r="EE284" s="3">
        <v>15463</v>
      </c>
      <c r="EF284" s="183">
        <v>14953</v>
      </c>
      <c r="EG284" s="130">
        <v>15470</v>
      </c>
      <c r="EH284" s="130"/>
      <c r="EI284" s="130"/>
      <c r="EJ284" s="130"/>
      <c r="EK284" s="183">
        <v>-3112</v>
      </c>
      <c r="EL284" s="183">
        <v>112</v>
      </c>
      <c r="EM284" s="183">
        <v>4356</v>
      </c>
      <c r="EN284" s="226">
        <v>-924</v>
      </c>
      <c r="EO284" s="226">
        <v>0</v>
      </c>
      <c r="EP284" s="226">
        <v>225</v>
      </c>
      <c r="EQ284" s="226">
        <v>-1218</v>
      </c>
      <c r="ER284" s="230">
        <v>0</v>
      </c>
      <c r="ES284" s="230">
        <v>80</v>
      </c>
      <c r="ET284" s="3">
        <v>0</v>
      </c>
      <c r="EU284" s="211">
        <v>2000</v>
      </c>
      <c r="EV284" s="183">
        <v>3000</v>
      </c>
      <c r="EW284" s="183">
        <v>-2500</v>
      </c>
      <c r="EX284" s="130">
        <v>0</v>
      </c>
      <c r="EY284" s="183">
        <v>1500</v>
      </c>
      <c r="EZ284" s="3">
        <v>16965</v>
      </c>
      <c r="FA284" s="3">
        <v>6088</v>
      </c>
      <c r="FB284" s="3">
        <v>10877</v>
      </c>
      <c r="FC284" s="3">
        <v>0</v>
      </c>
      <c r="FD284" s="226">
        <v>16438</v>
      </c>
      <c r="FE284" s="183">
        <v>7831</v>
      </c>
      <c r="FF284" s="183">
        <v>8607</v>
      </c>
      <c r="FG284" s="183">
        <v>0</v>
      </c>
      <c r="FH284" s="230">
        <v>16830</v>
      </c>
      <c r="FI284" s="130">
        <v>6867</v>
      </c>
      <c r="FJ284" s="130">
        <v>9963</v>
      </c>
      <c r="FK284" s="130">
        <v>0</v>
      </c>
      <c r="FL284" s="29">
        <v>9295.6411876184466</v>
      </c>
      <c r="FM284" s="139">
        <v>9197.4951830443151</v>
      </c>
      <c r="FN284" s="139">
        <v>9568.67862969005</v>
      </c>
      <c r="FO284" s="172">
        <f t="shared" si="12"/>
        <v>394.48888888888888</v>
      </c>
      <c r="FP284" s="170">
        <f t="shared" si="13"/>
        <v>128.70763095885445</v>
      </c>
      <c r="FR284" s="175"/>
      <c r="FS284" s="195"/>
      <c r="FV284" s="175">
        <v>989</v>
      </c>
      <c r="FW284" s="2">
        <f t="shared" si="14"/>
        <v>-989</v>
      </c>
      <c r="FZ284" s="186"/>
      <c r="GA284" s="2"/>
      <c r="GB284" s="2"/>
    </row>
    <row r="285" spans="1:184" ht="13" x14ac:dyDescent="0.3">
      <c r="A285" s="77">
        <v>925</v>
      </c>
      <c r="B285" s="75" t="s">
        <v>274</v>
      </c>
      <c r="C285" s="179">
        <v>3676</v>
      </c>
      <c r="D285" s="138"/>
      <c r="E285" s="142">
        <v>4.863395225464191</v>
      </c>
      <c r="F285" s="142">
        <v>37.385683329048369</v>
      </c>
      <c r="G285" s="183">
        <v>-1430.6311207834603</v>
      </c>
      <c r="H285" s="144"/>
      <c r="I285" s="186"/>
      <c r="K285" s="210">
        <v>63.193343898573694</v>
      </c>
      <c r="L285" s="143">
        <v>1014.6898803046791</v>
      </c>
      <c r="M285" s="146">
        <v>50.688782158680517</v>
      </c>
      <c r="N285" s="143">
        <v>7306.5832426550596</v>
      </c>
      <c r="O285" s="138">
        <v>6550</v>
      </c>
      <c r="P285" s="143">
        <v>2411</v>
      </c>
      <c r="Q285" s="184">
        <v>23988</v>
      </c>
      <c r="R285" s="184">
        <v>-21577</v>
      </c>
      <c r="S285" s="139">
        <v>13218</v>
      </c>
      <c r="T285" s="138">
        <v>11598</v>
      </c>
      <c r="U285" s="151"/>
      <c r="W285" s="183">
        <v>-74</v>
      </c>
      <c r="X285" s="183">
        <v>415</v>
      </c>
      <c r="Y285" s="184">
        <v>3580</v>
      </c>
      <c r="Z285" s="130">
        <v>1977</v>
      </c>
      <c r="AA285" s="130">
        <v>0</v>
      </c>
      <c r="AB285" s="130">
        <v>0</v>
      </c>
      <c r="AC285" s="184">
        <v>1603</v>
      </c>
      <c r="AD285" s="184">
        <v>-52</v>
      </c>
      <c r="AE285" s="184">
        <v>-500</v>
      </c>
      <c r="AF285" s="183">
        <v>69</v>
      </c>
      <c r="AG285" s="183">
        <v>1120</v>
      </c>
      <c r="AH285" s="183">
        <v>5142</v>
      </c>
      <c r="AI285" s="183">
        <v>3527</v>
      </c>
      <c r="AJ285" s="167"/>
      <c r="AK285" s="183">
        <v>-221</v>
      </c>
      <c r="AL285" s="183">
        <v>-667</v>
      </c>
      <c r="AM285" s="180">
        <v>1731</v>
      </c>
      <c r="AN285" s="139">
        <v>13218</v>
      </c>
      <c r="AO285" s="138">
        <v>9153</v>
      </c>
      <c r="AP285" s="184">
        <v>3180</v>
      </c>
      <c r="AQ285" s="138">
        <v>885</v>
      </c>
      <c r="AR285" s="109">
        <v>21</v>
      </c>
      <c r="AS285" s="144"/>
      <c r="AT285" s="139">
        <v>5</v>
      </c>
      <c r="AU285" s="228">
        <v>3579</v>
      </c>
      <c r="AV285" s="138"/>
      <c r="AW285" s="224">
        <v>4.1096825577426328</v>
      </c>
      <c r="AX285" s="225">
        <v>31.369355006411812</v>
      </c>
      <c r="AY285" s="139">
        <v>-425.8172673931266</v>
      </c>
      <c r="AZ285" s="144"/>
      <c r="BA285"/>
      <c r="BC285" s="189">
        <v>69.309986246687458</v>
      </c>
      <c r="BD285" s="183">
        <v>1890.4721989382508</v>
      </c>
      <c r="BE285" s="140">
        <v>92.563343328335833</v>
      </c>
      <c r="BF285" s="139">
        <v>7454.5962559374129</v>
      </c>
      <c r="BG285" s="184">
        <v>6780</v>
      </c>
      <c r="BH285" s="216">
        <v>3739</v>
      </c>
      <c r="BI285" s="216">
        <v>24843</v>
      </c>
      <c r="BJ285" s="216">
        <v>-21104</v>
      </c>
      <c r="BK285" s="216">
        <v>14585</v>
      </c>
      <c r="BL285" s="216">
        <v>10529</v>
      </c>
      <c r="BM285" s="151"/>
      <c r="BO285" s="216">
        <v>-73</v>
      </c>
      <c r="BP285" s="216">
        <v>496</v>
      </c>
      <c r="BQ285" s="216">
        <v>4433</v>
      </c>
      <c r="BR285" s="216">
        <v>1317</v>
      </c>
      <c r="BS285" s="216">
        <v>0</v>
      </c>
      <c r="BT285" s="216">
        <v>0</v>
      </c>
      <c r="BU285" s="216">
        <v>3116</v>
      </c>
      <c r="BV285" s="184">
        <v>41</v>
      </c>
      <c r="BW285" s="184">
        <v>0</v>
      </c>
      <c r="BX285" s="183">
        <v>-1620</v>
      </c>
      <c r="BY285" s="183">
        <v>1537</v>
      </c>
      <c r="BZ285" s="183">
        <v>6679</v>
      </c>
      <c r="CA285" s="183">
        <v>3005</v>
      </c>
      <c r="CB285" s="167"/>
      <c r="CC285" s="183">
        <v>429</v>
      </c>
      <c r="CD285" s="183">
        <v>-667</v>
      </c>
      <c r="CE285" s="180">
        <v>3635</v>
      </c>
      <c r="CF285" s="139">
        <v>14585</v>
      </c>
      <c r="CG285" s="216">
        <v>10288</v>
      </c>
      <c r="CH285" s="216">
        <v>3400</v>
      </c>
      <c r="CI285" s="216">
        <v>897</v>
      </c>
      <c r="CJ285" s="212">
        <v>21</v>
      </c>
      <c r="CK285" s="144"/>
      <c r="CL285" s="130">
        <v>175</v>
      </c>
      <c r="CM285" s="228">
        <v>3522</v>
      </c>
      <c r="CN285" s="138"/>
      <c r="CO285" s="142">
        <v>5.942126514131898</v>
      </c>
      <c r="CP285" s="142">
        <v>30.042257556224037</v>
      </c>
      <c r="CQ285" s="183">
        <v>545.7126632595116</v>
      </c>
      <c r="CR285" s="144"/>
      <c r="CS285"/>
      <c r="CU285" s="232">
        <v>73.822923393917023</v>
      </c>
      <c r="CV285" s="143">
        <v>2742.4758659852355</v>
      </c>
      <c r="CW285" s="146">
        <v>137.50672803151448</v>
      </c>
      <c r="CX285" s="143">
        <v>7279.6706416808629</v>
      </c>
      <c r="CY285" s="131">
        <v>6370</v>
      </c>
      <c r="CZ285" s="229">
        <v>1572</v>
      </c>
      <c r="DA285" s="229">
        <v>23917</v>
      </c>
      <c r="DB285" s="216">
        <v>-22345</v>
      </c>
      <c r="DC285" s="229">
        <v>14235</v>
      </c>
      <c r="DD285" s="229">
        <v>12117</v>
      </c>
      <c r="DE285" s="151"/>
      <c r="DG285" s="229">
        <v>-66</v>
      </c>
      <c r="DH285" s="229">
        <v>398</v>
      </c>
      <c r="DI285" s="229">
        <v>4339</v>
      </c>
      <c r="DJ285" s="229">
        <v>997</v>
      </c>
      <c r="DK285" s="229">
        <v>0</v>
      </c>
      <c r="DL285" s="229">
        <v>0</v>
      </c>
      <c r="DM285" s="229">
        <v>3342</v>
      </c>
      <c r="DN285" s="131">
        <v>-459</v>
      </c>
      <c r="DO285" s="131">
        <v>-120</v>
      </c>
      <c r="DP285" s="130">
        <v>-1700</v>
      </c>
      <c r="DQ285" s="130">
        <v>1063</v>
      </c>
      <c r="DR285" s="130">
        <v>7743</v>
      </c>
      <c r="DS285" s="130">
        <v>4373</v>
      </c>
      <c r="DT285" s="167"/>
      <c r="DU285" s="183">
        <v>107</v>
      </c>
      <c r="DV285" s="183">
        <v>-667</v>
      </c>
      <c r="DW285" s="180">
        <v>3410</v>
      </c>
      <c r="DX285" s="130">
        <v>14235</v>
      </c>
      <c r="DY285" s="229">
        <v>9620</v>
      </c>
      <c r="DZ285" s="229">
        <v>3609</v>
      </c>
      <c r="EA285" s="229">
        <v>1006</v>
      </c>
      <c r="EB285" s="212">
        <v>21</v>
      </c>
      <c r="EC285" s="208"/>
      <c r="ED285" s="183">
        <v>7</v>
      </c>
      <c r="EE285" s="3">
        <v>15330</v>
      </c>
      <c r="EF285" s="183">
        <v>15812</v>
      </c>
      <c r="EG285" s="130">
        <v>15624</v>
      </c>
      <c r="EH285" s="130"/>
      <c r="EI285" s="130"/>
      <c r="EJ285" s="130"/>
      <c r="EK285" s="183">
        <v>-2072</v>
      </c>
      <c r="EL285" s="183">
        <v>186</v>
      </c>
      <c r="EM285" s="183">
        <v>90</v>
      </c>
      <c r="EN285" s="226">
        <v>-1065</v>
      </c>
      <c r="EO285" s="226">
        <v>156</v>
      </c>
      <c r="EP285" s="226">
        <v>1539</v>
      </c>
      <c r="EQ285" s="226">
        <v>-968</v>
      </c>
      <c r="ER285" s="230">
        <v>0</v>
      </c>
      <c r="ES285" s="230">
        <v>5</v>
      </c>
      <c r="ET285" s="3">
        <v>0</v>
      </c>
      <c r="EU285" s="211">
        <v>0</v>
      </c>
      <c r="EV285" s="183">
        <v>0</v>
      </c>
      <c r="EW285" s="183">
        <v>0</v>
      </c>
      <c r="EX285" s="130">
        <v>0</v>
      </c>
      <c r="EY285" s="183">
        <v>0</v>
      </c>
      <c r="EZ285" s="3">
        <v>8279</v>
      </c>
      <c r="FA285" s="3">
        <v>7613</v>
      </c>
      <c r="FB285" s="3">
        <v>666</v>
      </c>
      <c r="FC285" s="3">
        <v>659</v>
      </c>
      <c r="FD285" s="226">
        <v>7613</v>
      </c>
      <c r="FE285" s="183">
        <v>6946</v>
      </c>
      <c r="FF285" s="183">
        <v>667</v>
      </c>
      <c r="FG285" s="183">
        <v>554</v>
      </c>
      <c r="FH285" s="230">
        <v>6946</v>
      </c>
      <c r="FI285" s="130">
        <v>6363</v>
      </c>
      <c r="FJ285" s="130">
        <v>583</v>
      </c>
      <c r="FK285" s="130">
        <v>509</v>
      </c>
      <c r="FL285" s="29">
        <v>8820.4570184983677</v>
      </c>
      <c r="FM285" s="139">
        <v>8160.1005867560762</v>
      </c>
      <c r="FN285" s="139">
        <v>8116.1272004542861</v>
      </c>
      <c r="FO285" s="172">
        <f t="shared" si="12"/>
        <v>458.09523809523807</v>
      </c>
      <c r="FP285" s="170">
        <f t="shared" si="13"/>
        <v>130.066791054866</v>
      </c>
      <c r="FR285" s="175"/>
      <c r="FS285" s="195"/>
      <c r="FV285" s="175">
        <v>493</v>
      </c>
      <c r="FW285" s="2">
        <f t="shared" si="14"/>
        <v>-493</v>
      </c>
      <c r="FZ285" s="186"/>
      <c r="GA285" s="2"/>
      <c r="GB285" s="2"/>
    </row>
    <row r="286" spans="1:184" ht="13" x14ac:dyDescent="0.3">
      <c r="A286" s="77">
        <v>927</v>
      </c>
      <c r="B286" s="75" t="s">
        <v>275</v>
      </c>
      <c r="C286" s="179">
        <v>29211</v>
      </c>
      <c r="D286" s="138"/>
      <c r="E286" s="142">
        <v>0.41767196612606855</v>
      </c>
      <c r="F286" s="142">
        <v>70.76020140240324</v>
      </c>
      <c r="G286" s="183">
        <v>-3671.5620827770363</v>
      </c>
      <c r="H286" s="144"/>
      <c r="I286" s="186"/>
      <c r="K286" s="210">
        <v>37.796850487090879</v>
      </c>
      <c r="L286" s="143">
        <v>121.76919653555169</v>
      </c>
      <c r="M286" s="146">
        <v>6.8300926948854723</v>
      </c>
      <c r="N286" s="143">
        <v>6507.3431241655535</v>
      </c>
      <c r="O286" s="138">
        <v>45906</v>
      </c>
      <c r="P286" s="143">
        <v>16210</v>
      </c>
      <c r="Q286" s="184">
        <v>157237</v>
      </c>
      <c r="R286" s="184">
        <v>-141027</v>
      </c>
      <c r="S286" s="139">
        <v>123107</v>
      </c>
      <c r="T286" s="138">
        <v>22865</v>
      </c>
      <c r="U286" s="151"/>
      <c r="W286" s="183">
        <v>-566</v>
      </c>
      <c r="X286" s="183">
        <v>273</v>
      </c>
      <c r="Y286" s="184">
        <v>4652</v>
      </c>
      <c r="Z286" s="130">
        <v>9939</v>
      </c>
      <c r="AA286" s="130">
        <v>24</v>
      </c>
      <c r="AB286" s="130">
        <v>19</v>
      </c>
      <c r="AC286" s="184">
        <v>-5282</v>
      </c>
      <c r="AD286" s="184">
        <v>189</v>
      </c>
      <c r="AE286" s="183">
        <v>0</v>
      </c>
      <c r="AF286" s="183">
        <v>0</v>
      </c>
      <c r="AG286" s="183">
        <v>-5093</v>
      </c>
      <c r="AH286" s="183">
        <v>16416</v>
      </c>
      <c r="AI286" s="183">
        <v>4047</v>
      </c>
      <c r="AJ286" s="167"/>
      <c r="AK286" s="183">
        <v>133</v>
      </c>
      <c r="AL286" s="183">
        <v>-11941</v>
      </c>
      <c r="AM286" s="180">
        <v>-15586</v>
      </c>
      <c r="AN286" s="139">
        <v>123107</v>
      </c>
      <c r="AO286" s="138">
        <v>112303</v>
      </c>
      <c r="AP286" s="184">
        <v>3619</v>
      </c>
      <c r="AQ286" s="138">
        <v>7185</v>
      </c>
      <c r="AR286" s="109">
        <v>20.5</v>
      </c>
      <c r="AS286" s="144"/>
      <c r="AT286" s="139">
        <v>191</v>
      </c>
      <c r="AU286" s="228">
        <v>29158</v>
      </c>
      <c r="AV286" s="138"/>
      <c r="AW286" s="224">
        <v>3.079516353852637E-2</v>
      </c>
      <c r="AX286" s="225">
        <v>84.462239950978926</v>
      </c>
      <c r="AY286" s="139">
        <v>-4396.2548871664721</v>
      </c>
      <c r="AZ286" s="144"/>
      <c r="BA286"/>
      <c r="BC286" s="189">
        <v>29.943910535562313</v>
      </c>
      <c r="BD286" s="183">
        <v>275.25893408327045</v>
      </c>
      <c r="BE286" s="140">
        <v>14.453769488849417</v>
      </c>
      <c r="BF286" s="139">
        <v>6951.0940393716992</v>
      </c>
      <c r="BG286" s="184">
        <v>48893</v>
      </c>
      <c r="BH286" s="216">
        <v>16101</v>
      </c>
      <c r="BI286" s="216">
        <v>166572</v>
      </c>
      <c r="BJ286" s="216">
        <v>-150196</v>
      </c>
      <c r="BK286" s="216">
        <v>125945</v>
      </c>
      <c r="BL286" s="216">
        <v>24413</v>
      </c>
      <c r="BM286" s="151"/>
      <c r="BO286" s="216">
        <v>-635</v>
      </c>
      <c r="BP286" s="216">
        <v>280</v>
      </c>
      <c r="BQ286" s="216">
        <v>-193</v>
      </c>
      <c r="BR286" s="216">
        <v>10508</v>
      </c>
      <c r="BS286" s="216">
        <v>378</v>
      </c>
      <c r="BT286" s="216">
        <v>157</v>
      </c>
      <c r="BU286" s="216">
        <v>-10480</v>
      </c>
      <c r="BV286" s="184">
        <v>189</v>
      </c>
      <c r="BW286" s="183">
        <v>0</v>
      </c>
      <c r="BX286" s="183">
        <v>0</v>
      </c>
      <c r="BY286" s="183">
        <v>-10291</v>
      </c>
      <c r="BZ286" s="183">
        <v>6662</v>
      </c>
      <c r="CA286" s="183">
        <v>-1249</v>
      </c>
      <c r="CB286" s="167"/>
      <c r="CC286" s="183">
        <v>-654</v>
      </c>
      <c r="CD286" s="183">
        <v>-13869</v>
      </c>
      <c r="CE286" s="180">
        <v>-17364</v>
      </c>
      <c r="CF286" s="139">
        <v>125945</v>
      </c>
      <c r="CG286" s="216">
        <v>114967</v>
      </c>
      <c r="CH286" s="216">
        <v>3659</v>
      </c>
      <c r="CI286" s="216">
        <v>7319</v>
      </c>
      <c r="CJ286" s="212">
        <v>20.5</v>
      </c>
      <c r="CK286" s="144"/>
      <c r="CL286" s="130">
        <v>2</v>
      </c>
      <c r="CM286" s="228">
        <v>29160</v>
      </c>
      <c r="CN286" s="138"/>
      <c r="CO286" s="142">
        <v>0.64196348583608787</v>
      </c>
      <c r="CP286" s="142">
        <v>67.430618498856234</v>
      </c>
      <c r="CQ286" s="183">
        <v>-4000.034293552812</v>
      </c>
      <c r="CR286" s="144"/>
      <c r="CS286"/>
      <c r="CU286" s="232">
        <v>34.741530290352927</v>
      </c>
      <c r="CV286" s="143">
        <v>98.593964334705078</v>
      </c>
      <c r="CW286" s="146">
        <v>5.0687098488141817</v>
      </c>
      <c r="CX286" s="143">
        <v>7099.7942386831273</v>
      </c>
      <c r="CY286" s="131">
        <v>48707</v>
      </c>
      <c r="CZ286" s="229">
        <v>16513</v>
      </c>
      <c r="DA286" s="229">
        <v>165211</v>
      </c>
      <c r="DB286" s="216">
        <v>-148698</v>
      </c>
      <c r="DC286" s="229">
        <v>128924</v>
      </c>
      <c r="DD286" s="229">
        <v>40109</v>
      </c>
      <c r="DE286" s="151"/>
      <c r="DG286" s="229">
        <v>-548</v>
      </c>
      <c r="DH286" s="229">
        <v>356</v>
      </c>
      <c r="DI286" s="229">
        <v>20143</v>
      </c>
      <c r="DJ286" s="229">
        <v>13239</v>
      </c>
      <c r="DK286" s="229">
        <v>0</v>
      </c>
      <c r="DL286" s="229">
        <v>0</v>
      </c>
      <c r="DM286" s="229">
        <v>6904</v>
      </c>
      <c r="DN286" s="131">
        <v>189</v>
      </c>
      <c r="DO286" s="130">
        <v>0</v>
      </c>
      <c r="DP286" s="130">
        <v>-3740</v>
      </c>
      <c r="DQ286" s="130">
        <v>3353</v>
      </c>
      <c r="DR286" s="130">
        <v>9795</v>
      </c>
      <c r="DS286" s="130">
        <v>19597</v>
      </c>
      <c r="DT286" s="167"/>
      <c r="DU286" s="183">
        <v>-1085</v>
      </c>
      <c r="DV286" s="183">
        <v>-31733</v>
      </c>
      <c r="DW286" s="180">
        <v>11630</v>
      </c>
      <c r="DX286" s="130">
        <v>128924</v>
      </c>
      <c r="DY286" s="229">
        <v>118445</v>
      </c>
      <c r="DZ286" s="229">
        <v>3898</v>
      </c>
      <c r="EA286" s="229">
        <v>6581</v>
      </c>
      <c r="EB286" s="212">
        <v>20.5</v>
      </c>
      <c r="EC286" s="208"/>
      <c r="ED286" s="183">
        <v>137.63235294117601</v>
      </c>
      <c r="EE286" s="3">
        <v>96640</v>
      </c>
      <c r="EF286" s="183">
        <v>103114</v>
      </c>
      <c r="EG286" s="130">
        <v>102228</v>
      </c>
      <c r="EH286" s="130"/>
      <c r="EI286" s="130"/>
      <c r="EJ286" s="130">
        <v>2000</v>
      </c>
      <c r="EK286" s="183">
        <v>-20597</v>
      </c>
      <c r="EL286" s="183">
        <v>434</v>
      </c>
      <c r="EM286" s="183">
        <v>530</v>
      </c>
      <c r="EN286" s="226">
        <v>-18317</v>
      </c>
      <c r="EO286" s="226">
        <v>1431</v>
      </c>
      <c r="EP286" s="226">
        <v>771</v>
      </c>
      <c r="EQ286" s="226">
        <v>-9635</v>
      </c>
      <c r="ER286" s="230">
        <v>66</v>
      </c>
      <c r="ES286" s="230">
        <v>1602</v>
      </c>
      <c r="ET286" s="3">
        <v>20000</v>
      </c>
      <c r="EU286" s="211">
        <v>2000</v>
      </c>
      <c r="EV286" s="183">
        <v>0</v>
      </c>
      <c r="EW286" s="183">
        <v>38000</v>
      </c>
      <c r="EX286" s="130">
        <v>60000</v>
      </c>
      <c r="EY286" s="183">
        <v>-40000</v>
      </c>
      <c r="EZ286" s="3">
        <v>89999</v>
      </c>
      <c r="FA286" s="3">
        <v>77330</v>
      </c>
      <c r="FB286" s="3">
        <v>12669</v>
      </c>
      <c r="FC286" s="3">
        <v>0</v>
      </c>
      <c r="FD286" s="226">
        <v>114129</v>
      </c>
      <c r="FE286" s="183">
        <v>65660</v>
      </c>
      <c r="FF286" s="183">
        <v>48469</v>
      </c>
      <c r="FG286" s="183">
        <v>3500</v>
      </c>
      <c r="FH286" s="230">
        <v>102397</v>
      </c>
      <c r="FI286" s="130">
        <v>92646</v>
      </c>
      <c r="FJ286" s="130">
        <v>9751</v>
      </c>
      <c r="FK286" s="130">
        <v>3440</v>
      </c>
      <c r="FL286" s="29">
        <v>3369.4498647769678</v>
      </c>
      <c r="FM286" s="139">
        <v>4351.6016187667192</v>
      </c>
      <c r="FN286" s="139">
        <v>4137.8943758573396</v>
      </c>
      <c r="FO286" s="172">
        <f t="shared" si="12"/>
        <v>5777.8048780487807</v>
      </c>
      <c r="FP286" s="170">
        <f t="shared" si="13"/>
        <v>198.14145672320922</v>
      </c>
      <c r="FR286" s="175"/>
      <c r="FS286" s="195"/>
      <c r="FV286" s="175">
        <v>9896</v>
      </c>
      <c r="FW286" s="2">
        <f t="shared" si="14"/>
        <v>-9896</v>
      </c>
      <c r="FZ286" s="186"/>
      <c r="GA286" s="2"/>
      <c r="GB286" s="2"/>
    </row>
    <row r="287" spans="1:184" ht="13" x14ac:dyDescent="0.3">
      <c r="A287" s="77">
        <v>931</v>
      </c>
      <c r="B287" s="75" t="s">
        <v>276</v>
      </c>
      <c r="C287" s="179">
        <v>6264</v>
      </c>
      <c r="D287" s="138"/>
      <c r="E287" s="142">
        <v>2.3947583947583948</v>
      </c>
      <c r="F287" s="142">
        <v>43.029697696098019</v>
      </c>
      <c r="G287" s="183">
        <v>-733.55683269476367</v>
      </c>
      <c r="H287" s="144"/>
      <c r="I287" s="186"/>
      <c r="K287" s="210">
        <v>59.399378409076725</v>
      </c>
      <c r="L287" s="143">
        <v>3610.632183908046</v>
      </c>
      <c r="M287" s="146">
        <v>110.0107276119403</v>
      </c>
      <c r="N287" s="143">
        <v>11979.565772669221</v>
      </c>
      <c r="O287" s="138">
        <v>26902</v>
      </c>
      <c r="P287" s="143">
        <v>31771</v>
      </c>
      <c r="Q287" s="184">
        <v>72120</v>
      </c>
      <c r="R287" s="184">
        <v>-40349</v>
      </c>
      <c r="S287" s="139">
        <v>19744</v>
      </c>
      <c r="T287" s="138">
        <v>23575</v>
      </c>
      <c r="U287" s="151"/>
      <c r="W287" s="183">
        <v>-24</v>
      </c>
      <c r="X287" s="183">
        <v>-97</v>
      </c>
      <c r="Y287" s="184">
        <v>2849</v>
      </c>
      <c r="Z287" s="130">
        <v>2488</v>
      </c>
      <c r="AA287" s="130">
        <v>10857</v>
      </c>
      <c r="AB287" s="130">
        <v>0</v>
      </c>
      <c r="AC287" s="184">
        <v>11218</v>
      </c>
      <c r="AD287" s="183">
        <v>0</v>
      </c>
      <c r="AE287" s="183">
        <v>0</v>
      </c>
      <c r="AF287" s="183">
        <v>0</v>
      </c>
      <c r="AG287" s="183">
        <v>11218</v>
      </c>
      <c r="AH287" s="183">
        <v>26229</v>
      </c>
      <c r="AI287" s="183">
        <v>13635</v>
      </c>
      <c r="AJ287" s="167"/>
      <c r="AK287" s="183">
        <v>-642</v>
      </c>
      <c r="AL287" s="183">
        <v>-1146</v>
      </c>
      <c r="AM287" s="180">
        <v>16697</v>
      </c>
      <c r="AN287" s="139">
        <v>19744</v>
      </c>
      <c r="AO287" s="138">
        <v>15837</v>
      </c>
      <c r="AP287" s="184">
        <v>2229</v>
      </c>
      <c r="AQ287" s="138">
        <v>1678</v>
      </c>
      <c r="AR287" s="109">
        <v>21</v>
      </c>
      <c r="AS287" s="144"/>
      <c r="AT287" s="139">
        <v>56</v>
      </c>
      <c r="AU287" s="228">
        <v>6176</v>
      </c>
      <c r="AV287" s="138"/>
      <c r="AW287" s="224">
        <v>0.73869126043039091</v>
      </c>
      <c r="AX287" s="225">
        <v>29.513898071989633</v>
      </c>
      <c r="AY287" s="139">
        <v>-798.41321243523316</v>
      </c>
      <c r="AZ287" s="144"/>
      <c r="BA287"/>
      <c r="BC287" s="189">
        <v>67.218796482158069</v>
      </c>
      <c r="BD287" s="183">
        <v>2233.6463730569949</v>
      </c>
      <c r="BE287" s="140">
        <v>61.564490689229338</v>
      </c>
      <c r="BF287" s="139">
        <v>13242.713730569949</v>
      </c>
      <c r="BG287" s="184">
        <v>32893</v>
      </c>
      <c r="BH287" s="216">
        <v>31334</v>
      </c>
      <c r="BI287" s="216">
        <v>73920</v>
      </c>
      <c r="BJ287" s="216">
        <v>-42586</v>
      </c>
      <c r="BK287" s="216">
        <v>20462</v>
      </c>
      <c r="BL287" s="216">
        <v>23826</v>
      </c>
      <c r="BM287" s="151"/>
      <c r="BO287" s="216">
        <v>24</v>
      </c>
      <c r="BP287" s="216">
        <v>-84</v>
      </c>
      <c r="BQ287" s="216">
        <v>1642</v>
      </c>
      <c r="BR287" s="216">
        <v>2654</v>
      </c>
      <c r="BS287" s="216">
        <v>0</v>
      </c>
      <c r="BT287" s="216">
        <v>29</v>
      </c>
      <c r="BU287" s="216">
        <v>-1041</v>
      </c>
      <c r="BV287" s="183">
        <v>0</v>
      </c>
      <c r="BW287" s="183">
        <v>0</v>
      </c>
      <c r="BX287" s="183">
        <v>0</v>
      </c>
      <c r="BY287" s="183">
        <v>-1041</v>
      </c>
      <c r="BZ287" s="183">
        <v>25187</v>
      </c>
      <c r="CA287" s="183">
        <v>1595</v>
      </c>
      <c r="CB287" s="167"/>
      <c r="CC287" s="183">
        <v>1506</v>
      </c>
      <c r="CD287" s="183">
        <v>-5524</v>
      </c>
      <c r="CE287" s="180">
        <v>-517</v>
      </c>
      <c r="CF287" s="139">
        <v>20462</v>
      </c>
      <c r="CG287" s="216">
        <v>16321</v>
      </c>
      <c r="CH287" s="216">
        <v>2276</v>
      </c>
      <c r="CI287" s="216">
        <v>1865</v>
      </c>
      <c r="CJ287" s="212">
        <v>21</v>
      </c>
      <c r="CK287" s="144"/>
      <c r="CL287" s="130">
        <v>235</v>
      </c>
      <c r="CM287" s="228">
        <v>6097</v>
      </c>
      <c r="CN287" s="138"/>
      <c r="CO287" s="142">
        <v>4.8548850574712645</v>
      </c>
      <c r="CP287" s="142">
        <v>28.23580875919922</v>
      </c>
      <c r="CQ287" s="183">
        <v>-835.49286534361158</v>
      </c>
      <c r="CR287" s="144"/>
      <c r="CS287"/>
      <c r="CU287" s="232">
        <v>67.827228492744112</v>
      </c>
      <c r="CV287" s="143">
        <v>1896.1784484172545</v>
      </c>
      <c r="CW287" s="146">
        <v>50.607018217142581</v>
      </c>
      <c r="CX287" s="143">
        <v>13676.070198458257</v>
      </c>
      <c r="CY287" s="131">
        <v>33277</v>
      </c>
      <c r="CZ287" s="229">
        <v>30463</v>
      </c>
      <c r="DA287" s="229">
        <v>74373</v>
      </c>
      <c r="DB287" s="216">
        <v>-43910</v>
      </c>
      <c r="DC287" s="229">
        <v>20739</v>
      </c>
      <c r="DD287" s="229">
        <v>26522</v>
      </c>
      <c r="DE287" s="151"/>
      <c r="DG287" s="229">
        <v>83</v>
      </c>
      <c r="DH287" s="229">
        <v>-84</v>
      </c>
      <c r="DI287" s="229">
        <v>3350</v>
      </c>
      <c r="DJ287" s="229">
        <v>2541</v>
      </c>
      <c r="DK287" s="229">
        <v>179</v>
      </c>
      <c r="DL287" s="229">
        <v>0</v>
      </c>
      <c r="DM287" s="229">
        <v>988</v>
      </c>
      <c r="DN287" s="130">
        <v>0</v>
      </c>
      <c r="DO287" s="130">
        <v>0</v>
      </c>
      <c r="DP287" s="130">
        <v>0</v>
      </c>
      <c r="DQ287" s="130">
        <v>988</v>
      </c>
      <c r="DR287" s="130">
        <v>26174</v>
      </c>
      <c r="DS287" s="130">
        <v>3539</v>
      </c>
      <c r="DT287" s="167"/>
      <c r="DU287" s="183">
        <v>-1699</v>
      </c>
      <c r="DV287" s="183">
        <v>-667</v>
      </c>
      <c r="DW287" s="180">
        <v>-381</v>
      </c>
      <c r="DX287" s="130">
        <v>20739</v>
      </c>
      <c r="DY287" s="229">
        <v>16515</v>
      </c>
      <c r="DZ287" s="229">
        <v>2547</v>
      </c>
      <c r="EA287" s="229">
        <v>1677</v>
      </c>
      <c r="EB287" s="212">
        <v>21</v>
      </c>
      <c r="EC287" s="208"/>
      <c r="ED287" s="183">
        <v>209.154411764705</v>
      </c>
      <c r="EE287" s="3">
        <v>37856</v>
      </c>
      <c r="EF287" s="183">
        <v>32123</v>
      </c>
      <c r="EG287" s="130">
        <v>31371</v>
      </c>
      <c r="EH287" s="130"/>
      <c r="EI287" s="130"/>
      <c r="EJ287" s="130"/>
      <c r="EK287" s="183">
        <v>-1575</v>
      </c>
      <c r="EL287" s="183">
        <v>0</v>
      </c>
      <c r="EM287" s="183">
        <v>4637</v>
      </c>
      <c r="EN287" s="226">
        <v>-2189</v>
      </c>
      <c r="EO287" s="226">
        <v>20</v>
      </c>
      <c r="EP287" s="226">
        <v>57</v>
      </c>
      <c r="EQ287" s="226">
        <v>-8163</v>
      </c>
      <c r="ER287" s="230">
        <v>-16</v>
      </c>
      <c r="ES287" s="230">
        <v>4259</v>
      </c>
      <c r="ET287" s="3">
        <v>0</v>
      </c>
      <c r="EU287" s="211">
        <v>0</v>
      </c>
      <c r="EV287" s="183">
        <v>0</v>
      </c>
      <c r="EW287" s="183">
        <v>0</v>
      </c>
      <c r="EX287" s="130">
        <v>0</v>
      </c>
      <c r="EY287" s="183">
        <v>0</v>
      </c>
      <c r="EZ287" s="3">
        <v>19791</v>
      </c>
      <c r="FA287" s="3">
        <v>11643</v>
      </c>
      <c r="FB287" s="3">
        <v>8148</v>
      </c>
      <c r="FC287" s="3">
        <v>1139</v>
      </c>
      <c r="FD287" s="226">
        <v>14268</v>
      </c>
      <c r="FE287" s="183">
        <v>6601</v>
      </c>
      <c r="FF287" s="183">
        <v>7667</v>
      </c>
      <c r="FG287" s="183">
        <v>1139</v>
      </c>
      <c r="FH287" s="230">
        <v>13601</v>
      </c>
      <c r="FI287" s="130">
        <v>5933</v>
      </c>
      <c r="FJ287" s="130">
        <v>7668</v>
      </c>
      <c r="FK287" s="130">
        <v>1139</v>
      </c>
      <c r="FL287" s="29">
        <v>7244.4125159642399</v>
      </c>
      <c r="FM287" s="139">
        <v>7120.1424870466317</v>
      </c>
      <c r="FN287" s="139">
        <v>7562.7357716909955</v>
      </c>
      <c r="FO287" s="172">
        <f t="shared" si="12"/>
        <v>786.42857142857144</v>
      </c>
      <c r="FP287" s="170">
        <f t="shared" si="13"/>
        <v>128.98615244031024</v>
      </c>
      <c r="FR287" s="175"/>
      <c r="FS287" s="195"/>
      <c r="FV287" s="175">
        <v>1407</v>
      </c>
      <c r="FW287" s="2">
        <f t="shared" si="14"/>
        <v>-1407</v>
      </c>
      <c r="FZ287" s="186"/>
      <c r="GA287" s="2"/>
      <c r="GB287" s="2"/>
    </row>
    <row r="288" spans="1:184" ht="13" x14ac:dyDescent="0.3">
      <c r="A288" s="77">
        <v>934</v>
      </c>
      <c r="B288" s="75" t="s">
        <v>277</v>
      </c>
      <c r="C288" s="179">
        <v>2901</v>
      </c>
      <c r="D288" s="138"/>
      <c r="E288" s="142">
        <v>0.666131621187801</v>
      </c>
      <c r="F288" s="142">
        <v>57.21304571615741</v>
      </c>
      <c r="G288" s="183">
        <v>-3479.8345398138576</v>
      </c>
      <c r="H288" s="144"/>
      <c r="I288" s="186"/>
      <c r="K288" s="210">
        <v>46.676829268292686</v>
      </c>
      <c r="L288" s="143">
        <v>361.59944846604617</v>
      </c>
      <c r="M288" s="146">
        <v>16.736678760326964</v>
      </c>
      <c r="N288" s="143">
        <v>7885.9014133057563</v>
      </c>
      <c r="O288" s="138">
        <v>1969</v>
      </c>
      <c r="P288" s="143">
        <v>3705</v>
      </c>
      <c r="Q288" s="184">
        <v>20992</v>
      </c>
      <c r="R288" s="184">
        <v>-17287</v>
      </c>
      <c r="S288" s="139">
        <v>9851</v>
      </c>
      <c r="T288" s="138">
        <v>7815</v>
      </c>
      <c r="U288" s="151"/>
      <c r="W288" s="183">
        <v>-58</v>
      </c>
      <c r="X288" s="183">
        <v>33</v>
      </c>
      <c r="Y288" s="184">
        <v>354</v>
      </c>
      <c r="Z288" s="130">
        <v>857</v>
      </c>
      <c r="AA288" s="130">
        <v>0</v>
      </c>
      <c r="AB288" s="131">
        <v>0</v>
      </c>
      <c r="AC288" s="184">
        <v>-503</v>
      </c>
      <c r="AD288" s="184">
        <v>0</v>
      </c>
      <c r="AE288" s="183">
        <v>0</v>
      </c>
      <c r="AF288" s="183">
        <v>0</v>
      </c>
      <c r="AG288" s="183">
        <v>-503</v>
      </c>
      <c r="AH288" s="183">
        <v>-253</v>
      </c>
      <c r="AI288" s="183">
        <v>361</v>
      </c>
      <c r="AJ288" s="167"/>
      <c r="AK288" s="183">
        <v>-161</v>
      </c>
      <c r="AL288" s="183">
        <v>-562</v>
      </c>
      <c r="AM288" s="180">
        <v>-898</v>
      </c>
      <c r="AN288" s="139">
        <v>9851</v>
      </c>
      <c r="AO288" s="138">
        <v>8446</v>
      </c>
      <c r="AP288" s="184">
        <v>593</v>
      </c>
      <c r="AQ288" s="138">
        <v>812</v>
      </c>
      <c r="AR288" s="109">
        <v>22.25</v>
      </c>
      <c r="AS288" s="144"/>
      <c r="AT288" s="139">
        <v>210</v>
      </c>
      <c r="AU288" s="228">
        <v>2827</v>
      </c>
      <c r="AV288" s="138"/>
      <c r="AW288" s="224">
        <v>-9.0957006249529404E-2</v>
      </c>
      <c r="AX288" s="225">
        <v>64.974596465986238</v>
      </c>
      <c r="AY288" s="139">
        <v>-4146.4449946940222</v>
      </c>
      <c r="AZ288" s="144"/>
      <c r="BA288"/>
      <c r="BC288" s="189">
        <v>39.75392800731565</v>
      </c>
      <c r="BD288" s="183">
        <v>497.70074283692963</v>
      </c>
      <c r="BE288" s="140">
        <v>20.96142857142857</v>
      </c>
      <c r="BF288" s="139">
        <v>8666.4308454191723</v>
      </c>
      <c r="BG288" s="184">
        <v>2026</v>
      </c>
      <c r="BH288" s="216">
        <v>3836</v>
      </c>
      <c r="BI288" s="216">
        <v>22440</v>
      </c>
      <c r="BJ288" s="216">
        <v>-18604</v>
      </c>
      <c r="BK288" s="216">
        <v>10518</v>
      </c>
      <c r="BL288" s="216">
        <v>7887</v>
      </c>
      <c r="BM288" s="151"/>
      <c r="BO288" s="216">
        <v>-62</v>
      </c>
      <c r="BP288" s="216">
        <v>47</v>
      </c>
      <c r="BQ288" s="216">
        <v>-214</v>
      </c>
      <c r="BR288" s="216">
        <v>940</v>
      </c>
      <c r="BS288" s="216">
        <v>0</v>
      </c>
      <c r="BT288" s="216">
        <v>0</v>
      </c>
      <c r="BU288" s="216">
        <v>-1154</v>
      </c>
      <c r="BV288" s="184">
        <v>0</v>
      </c>
      <c r="BW288" s="183">
        <v>0</v>
      </c>
      <c r="BX288" s="183">
        <v>0</v>
      </c>
      <c r="BY288" s="183">
        <v>-1154</v>
      </c>
      <c r="BZ288" s="183">
        <v>-1406</v>
      </c>
      <c r="CA288" s="183">
        <v>-215</v>
      </c>
      <c r="CB288" s="167"/>
      <c r="CC288" s="183">
        <v>-239</v>
      </c>
      <c r="CD288" s="183">
        <v>-532</v>
      </c>
      <c r="CE288" s="180">
        <v>-1627</v>
      </c>
      <c r="CF288" s="139">
        <v>10518</v>
      </c>
      <c r="CG288" s="216">
        <v>9102</v>
      </c>
      <c r="CH288" s="216">
        <v>599</v>
      </c>
      <c r="CI288" s="216">
        <v>817</v>
      </c>
      <c r="CJ288" s="212">
        <v>22.25</v>
      </c>
      <c r="CK288" s="144"/>
      <c r="CL288" s="130">
        <v>101</v>
      </c>
      <c r="CM288" s="228">
        <v>2784</v>
      </c>
      <c r="CN288" s="138"/>
      <c r="CO288" s="142">
        <v>4.0017513134851139</v>
      </c>
      <c r="CP288" s="142">
        <v>57.587713716006959</v>
      </c>
      <c r="CQ288" s="183">
        <v>-4181.7528735632186</v>
      </c>
      <c r="CR288" s="144"/>
      <c r="CS288"/>
      <c r="CU288" s="232">
        <v>44.240612587527131</v>
      </c>
      <c r="CV288" s="143">
        <v>334.41091954022988</v>
      </c>
      <c r="CW288" s="146">
        <v>14.10430415473374</v>
      </c>
      <c r="CX288" s="143">
        <v>8654.0948275862065</v>
      </c>
      <c r="CY288" s="131">
        <v>2025</v>
      </c>
      <c r="CZ288" s="229">
        <v>4137</v>
      </c>
      <c r="DA288" s="229">
        <v>21320</v>
      </c>
      <c r="DB288" s="216">
        <v>-17183</v>
      </c>
      <c r="DC288" s="229">
        <v>10148</v>
      </c>
      <c r="DD288" s="229">
        <v>9286</v>
      </c>
      <c r="DE288" s="151"/>
      <c r="DG288" s="229">
        <v>-64</v>
      </c>
      <c r="DH288" s="229">
        <v>34</v>
      </c>
      <c r="DI288" s="229">
        <v>2221</v>
      </c>
      <c r="DJ288" s="229">
        <v>980</v>
      </c>
      <c r="DK288" s="229">
        <v>0</v>
      </c>
      <c r="DL288" s="229">
        <v>0</v>
      </c>
      <c r="DM288" s="229">
        <v>1241</v>
      </c>
      <c r="DN288" s="131">
        <v>0</v>
      </c>
      <c r="DO288" s="130">
        <v>0</v>
      </c>
      <c r="DP288" s="130">
        <v>0</v>
      </c>
      <c r="DQ288" s="130">
        <v>1241</v>
      </c>
      <c r="DR288" s="130">
        <v>-166</v>
      </c>
      <c r="DS288" s="130">
        <v>2216</v>
      </c>
      <c r="DT288" s="167"/>
      <c r="DU288" s="183">
        <v>320</v>
      </c>
      <c r="DV288" s="183">
        <v>-507</v>
      </c>
      <c r="DW288" s="180">
        <v>82</v>
      </c>
      <c r="DX288" s="130">
        <v>10148</v>
      </c>
      <c r="DY288" s="229">
        <v>8758</v>
      </c>
      <c r="DZ288" s="229">
        <v>667</v>
      </c>
      <c r="EA288" s="229">
        <v>723</v>
      </c>
      <c r="EB288" s="212">
        <v>22.25</v>
      </c>
      <c r="EC288" s="208"/>
      <c r="ED288" s="183">
        <v>87.264705882352999</v>
      </c>
      <c r="EE288" s="3">
        <v>17420</v>
      </c>
      <c r="EF288" s="183">
        <v>18863</v>
      </c>
      <c r="EG288" s="130">
        <v>17783</v>
      </c>
      <c r="EH288" s="130"/>
      <c r="EI288" s="130"/>
      <c r="EJ288" s="130">
        <v>390</v>
      </c>
      <c r="EK288" s="183">
        <v>-1260</v>
      </c>
      <c r="EL288" s="183">
        <v>0</v>
      </c>
      <c r="EM288" s="183">
        <v>1</v>
      </c>
      <c r="EN288" s="226">
        <v>-1465</v>
      </c>
      <c r="EO288" s="226">
        <v>0</v>
      </c>
      <c r="EP288" s="226">
        <v>53</v>
      </c>
      <c r="EQ288" s="226">
        <v>-2200</v>
      </c>
      <c r="ER288" s="230">
        <v>9</v>
      </c>
      <c r="ES288" s="230">
        <v>57</v>
      </c>
      <c r="ET288" s="3">
        <v>0</v>
      </c>
      <c r="EU288" s="211">
        <v>500</v>
      </c>
      <c r="EV288" s="183">
        <v>1500</v>
      </c>
      <c r="EW288" s="183">
        <v>1000</v>
      </c>
      <c r="EX288" s="130">
        <v>2200</v>
      </c>
      <c r="EY288" s="183">
        <v>-1500</v>
      </c>
      <c r="EZ288" s="3">
        <v>9479</v>
      </c>
      <c r="FA288" s="3">
        <v>4522</v>
      </c>
      <c r="FB288" s="3">
        <v>4957</v>
      </c>
      <c r="FC288" s="3">
        <v>632</v>
      </c>
      <c r="FD288" s="226">
        <v>11447</v>
      </c>
      <c r="FE288" s="183">
        <v>5440</v>
      </c>
      <c r="FF288" s="183">
        <v>6007</v>
      </c>
      <c r="FG288" s="183">
        <v>632</v>
      </c>
      <c r="FH288" s="230">
        <v>11640</v>
      </c>
      <c r="FI288" s="130">
        <v>7129</v>
      </c>
      <c r="FJ288" s="130">
        <v>4511</v>
      </c>
      <c r="FK288" s="130">
        <v>632</v>
      </c>
      <c r="FL288" s="29">
        <v>5741.1237504308865</v>
      </c>
      <c r="FM288" s="139">
        <v>6510.7888220728692</v>
      </c>
      <c r="FN288" s="139">
        <v>7207.6149425287358</v>
      </c>
      <c r="FO288" s="172">
        <f t="shared" si="12"/>
        <v>393.61797752808991</v>
      </c>
      <c r="FP288" s="170">
        <f t="shared" si="13"/>
        <v>141.38576779026218</v>
      </c>
      <c r="FR288" s="175"/>
      <c r="FS288" s="195"/>
      <c r="FV288" s="175">
        <v>902</v>
      </c>
      <c r="FW288" s="2">
        <f t="shared" si="14"/>
        <v>-902</v>
      </c>
      <c r="FZ288" s="186"/>
      <c r="GA288" s="2"/>
      <c r="GB288" s="2"/>
    </row>
    <row r="289" spans="1:184" ht="13" x14ac:dyDescent="0.3">
      <c r="A289" s="77">
        <v>935</v>
      </c>
      <c r="B289" s="75" t="s">
        <v>278</v>
      </c>
      <c r="C289" s="179">
        <v>3150</v>
      </c>
      <c r="D289" s="138"/>
      <c r="E289" s="142">
        <v>107.5</v>
      </c>
      <c r="F289" s="142">
        <v>84.509453896316799</v>
      </c>
      <c r="G289" s="183">
        <v>-5947.3015873015875</v>
      </c>
      <c r="H289" s="144"/>
      <c r="I289" s="186"/>
      <c r="K289" s="210">
        <v>40.821882951653947</v>
      </c>
      <c r="L289" s="143">
        <v>933.65079365079362</v>
      </c>
      <c r="M289" s="146">
        <v>34.262072707542053</v>
      </c>
      <c r="N289" s="143">
        <v>9946.3492063492067</v>
      </c>
      <c r="O289" s="138">
        <v>7960</v>
      </c>
      <c r="P289" s="143">
        <v>7722</v>
      </c>
      <c r="Q289" s="184">
        <v>26661</v>
      </c>
      <c r="R289" s="184">
        <v>-18939</v>
      </c>
      <c r="S289" s="139">
        <v>10463</v>
      </c>
      <c r="T289" s="138">
        <v>9264</v>
      </c>
      <c r="U289" s="151"/>
      <c r="W289" s="183">
        <v>10</v>
      </c>
      <c r="X289" s="183">
        <v>267</v>
      </c>
      <c r="Y289" s="184">
        <v>1065</v>
      </c>
      <c r="Z289" s="130">
        <v>1760</v>
      </c>
      <c r="AA289" s="130">
        <v>0</v>
      </c>
      <c r="AB289" s="130">
        <v>0</v>
      </c>
      <c r="AC289" s="184">
        <v>-695</v>
      </c>
      <c r="AD289" s="184">
        <v>0</v>
      </c>
      <c r="AE289" s="183">
        <v>0</v>
      </c>
      <c r="AF289" s="183">
        <v>0</v>
      </c>
      <c r="AG289" s="183">
        <v>-695</v>
      </c>
      <c r="AH289" s="183">
        <v>9418</v>
      </c>
      <c r="AI289" s="183">
        <v>972</v>
      </c>
      <c r="AJ289" s="167"/>
      <c r="AK289" s="183">
        <v>-448</v>
      </c>
      <c r="AL289" s="183">
        <v>0</v>
      </c>
      <c r="AM289" s="180">
        <v>-3503</v>
      </c>
      <c r="AN289" s="139">
        <v>10463</v>
      </c>
      <c r="AO289" s="138">
        <v>8212</v>
      </c>
      <c r="AP289" s="184">
        <v>1000</v>
      </c>
      <c r="AQ289" s="138">
        <v>1251</v>
      </c>
      <c r="AR289" s="109">
        <v>20</v>
      </c>
      <c r="AS289" s="144"/>
      <c r="AT289" s="139">
        <v>99</v>
      </c>
      <c r="AU289" s="228">
        <v>3109</v>
      </c>
      <c r="AV289" s="138"/>
      <c r="AW289" s="224">
        <v>0.49642191941966474</v>
      </c>
      <c r="AX289" s="225">
        <v>77.303290414878404</v>
      </c>
      <c r="AY289" s="139">
        <v>-5814.4097780636857</v>
      </c>
      <c r="AZ289" s="144"/>
      <c r="BA289"/>
      <c r="BC289" s="189">
        <v>42.119332763045335</v>
      </c>
      <c r="BD289" s="183">
        <v>909.61724027018329</v>
      </c>
      <c r="BE289" s="140">
        <v>36.650333759409172</v>
      </c>
      <c r="BF289" s="139">
        <v>9058.8613702155035</v>
      </c>
      <c r="BG289" s="184">
        <v>7921</v>
      </c>
      <c r="BH289" s="216">
        <v>7377</v>
      </c>
      <c r="BI289" s="216">
        <v>26983</v>
      </c>
      <c r="BJ289" s="216">
        <v>-19606</v>
      </c>
      <c r="BK289" s="216">
        <v>11023</v>
      </c>
      <c r="BL289" s="216">
        <v>9560</v>
      </c>
      <c r="BM289" s="151"/>
      <c r="BO289" s="216">
        <v>-94</v>
      </c>
      <c r="BP289" s="216">
        <v>259</v>
      </c>
      <c r="BQ289" s="216">
        <v>1142</v>
      </c>
      <c r="BR289" s="216">
        <v>1429</v>
      </c>
      <c r="BS289" s="216">
        <v>0</v>
      </c>
      <c r="BT289" s="216">
        <v>0</v>
      </c>
      <c r="BU289" s="216">
        <v>-287</v>
      </c>
      <c r="BV289" s="184">
        <v>0</v>
      </c>
      <c r="BW289" s="183">
        <v>0</v>
      </c>
      <c r="BX289" s="183">
        <v>0</v>
      </c>
      <c r="BY289" s="183">
        <v>-287</v>
      </c>
      <c r="BZ289" s="183">
        <v>9131</v>
      </c>
      <c r="CA289" s="183">
        <v>1095</v>
      </c>
      <c r="CB289" s="167"/>
      <c r="CC289" s="183">
        <v>812</v>
      </c>
      <c r="CD289" s="183">
        <v>-400</v>
      </c>
      <c r="CE289" s="180">
        <v>648</v>
      </c>
      <c r="CF289" s="139">
        <v>11023</v>
      </c>
      <c r="CG289" s="216">
        <v>8753</v>
      </c>
      <c r="CH289" s="216">
        <v>975</v>
      </c>
      <c r="CI289" s="216">
        <v>1295</v>
      </c>
      <c r="CJ289" s="212">
        <v>20.5</v>
      </c>
      <c r="CK289" s="144"/>
      <c r="CL289" s="130">
        <v>255</v>
      </c>
      <c r="CM289" s="228">
        <v>3087</v>
      </c>
      <c r="CN289" s="138"/>
      <c r="CO289" s="142">
        <v>4.8021582733812949</v>
      </c>
      <c r="CP289" s="142">
        <v>73.68609608426182</v>
      </c>
      <c r="CQ289" s="183">
        <v>-5286.3621639131843</v>
      </c>
      <c r="CR289" s="144"/>
      <c r="CS289"/>
      <c r="CU289" s="232">
        <v>43.496521853261584</v>
      </c>
      <c r="CV289" s="143">
        <v>1101.7168772270813</v>
      </c>
      <c r="CW289" s="146">
        <v>45.186553581828768</v>
      </c>
      <c r="CX289" s="143">
        <v>8899.2549400712669</v>
      </c>
      <c r="CY289" s="131">
        <v>6428</v>
      </c>
      <c r="CZ289" s="229">
        <v>5899</v>
      </c>
      <c r="DA289" s="229">
        <v>25570</v>
      </c>
      <c r="DB289" s="216">
        <v>-19671</v>
      </c>
      <c r="DC289" s="229">
        <v>11364</v>
      </c>
      <c r="DD289" s="229">
        <v>10650</v>
      </c>
      <c r="DE289" s="151"/>
      <c r="DG289" s="229">
        <v>-120</v>
      </c>
      <c r="DH289" s="229">
        <v>291</v>
      </c>
      <c r="DI289" s="229">
        <v>2514</v>
      </c>
      <c r="DJ289" s="229">
        <v>1700</v>
      </c>
      <c r="DK289" s="229">
        <v>0</v>
      </c>
      <c r="DL289" s="229">
        <v>0</v>
      </c>
      <c r="DM289" s="229">
        <v>814</v>
      </c>
      <c r="DN289" s="131">
        <v>0</v>
      </c>
      <c r="DO289" s="130">
        <v>0</v>
      </c>
      <c r="DP289" s="130">
        <v>0</v>
      </c>
      <c r="DQ289" s="130">
        <v>814</v>
      </c>
      <c r="DR289" s="130">
        <v>9945</v>
      </c>
      <c r="DS289" s="130">
        <v>3011</v>
      </c>
      <c r="DT289" s="167"/>
      <c r="DU289" s="183">
        <v>-139</v>
      </c>
      <c r="DV289" s="183">
        <v>-400</v>
      </c>
      <c r="DW289" s="180">
        <v>1741</v>
      </c>
      <c r="DX289" s="130">
        <v>11364</v>
      </c>
      <c r="DY289" s="229">
        <v>8976</v>
      </c>
      <c r="DZ289" s="229">
        <v>1049</v>
      </c>
      <c r="EA289" s="229">
        <v>1339</v>
      </c>
      <c r="EB289" s="212">
        <v>20.5</v>
      </c>
      <c r="EC289" s="208"/>
      <c r="ED289" s="183">
        <v>79.205882352941202</v>
      </c>
      <c r="EE289" s="3">
        <v>15284</v>
      </c>
      <c r="EF289" s="183">
        <v>15674</v>
      </c>
      <c r="EG289" s="130">
        <v>16237</v>
      </c>
      <c r="EH289" s="130"/>
      <c r="EI289" s="130"/>
      <c r="EJ289" s="130"/>
      <c r="EK289" s="183">
        <v>-4655</v>
      </c>
      <c r="EL289" s="183">
        <v>4</v>
      </c>
      <c r="EM289" s="183">
        <v>176</v>
      </c>
      <c r="EN289" s="226">
        <v>-653</v>
      </c>
      <c r="EO289" s="226">
        <v>106</v>
      </c>
      <c r="EP289" s="226">
        <v>100</v>
      </c>
      <c r="EQ289" s="226">
        <v>-1341</v>
      </c>
      <c r="ER289" s="230">
        <v>60</v>
      </c>
      <c r="ES289" s="230">
        <v>11</v>
      </c>
      <c r="ET289" s="3">
        <v>4000</v>
      </c>
      <c r="EU289" s="211">
        <v>-1500</v>
      </c>
      <c r="EV289" s="183">
        <v>0</v>
      </c>
      <c r="EW289" s="183">
        <v>0</v>
      </c>
      <c r="EX289" s="130">
        <v>0</v>
      </c>
      <c r="EY289" s="183">
        <v>0</v>
      </c>
      <c r="EZ289" s="3">
        <v>18500</v>
      </c>
      <c r="FA289" s="3">
        <v>3600</v>
      </c>
      <c r="FB289" s="3">
        <v>14900</v>
      </c>
      <c r="FC289" s="3">
        <v>598</v>
      </c>
      <c r="FD289" s="226">
        <v>18100</v>
      </c>
      <c r="FE289" s="183">
        <v>3200</v>
      </c>
      <c r="FF289" s="183">
        <v>14900</v>
      </c>
      <c r="FG289" s="183">
        <v>595</v>
      </c>
      <c r="FH289" s="230">
        <v>17700</v>
      </c>
      <c r="FI289" s="130">
        <v>2800</v>
      </c>
      <c r="FJ289" s="130">
        <v>14900</v>
      </c>
      <c r="FK289" s="130">
        <v>573</v>
      </c>
      <c r="FL289" s="29">
        <v>8676.1904761904752</v>
      </c>
      <c r="FM289" s="139">
        <v>9232.5506593760038</v>
      </c>
      <c r="FN289" s="139">
        <v>9133.1389698736621</v>
      </c>
      <c r="FO289" s="172">
        <f t="shared" si="12"/>
        <v>437.85365853658539</v>
      </c>
      <c r="FP289" s="170">
        <f t="shared" si="13"/>
        <v>141.83791983692433</v>
      </c>
      <c r="FR289" s="175"/>
      <c r="FS289" s="195"/>
      <c r="FV289" s="175">
        <v>375</v>
      </c>
      <c r="FW289" s="2">
        <f t="shared" si="14"/>
        <v>-375</v>
      </c>
      <c r="FZ289" s="186"/>
      <c r="GA289" s="2"/>
      <c r="GB289" s="2"/>
    </row>
    <row r="290" spans="1:184" ht="13" x14ac:dyDescent="0.3">
      <c r="A290" s="77">
        <v>936</v>
      </c>
      <c r="B290" s="75" t="s">
        <v>279</v>
      </c>
      <c r="C290" s="179">
        <v>6739</v>
      </c>
      <c r="D290" s="138"/>
      <c r="E290" s="142">
        <v>3.9274092615769711</v>
      </c>
      <c r="F290" s="142">
        <v>20.833280212144778</v>
      </c>
      <c r="G290" s="183">
        <v>-753.82104169758122</v>
      </c>
      <c r="H290" s="144"/>
      <c r="I290" s="186"/>
      <c r="K290" s="210">
        <v>72.27521884970956</v>
      </c>
      <c r="L290" s="143">
        <v>1049.5622495919276</v>
      </c>
      <c r="M290" s="146">
        <v>31.046552180291989</v>
      </c>
      <c r="N290" s="143">
        <v>12339.219468763911</v>
      </c>
      <c r="O290" s="138">
        <v>15887</v>
      </c>
      <c r="P290" s="143">
        <v>33391</v>
      </c>
      <c r="Q290" s="184">
        <v>76066</v>
      </c>
      <c r="R290" s="184">
        <v>-42675</v>
      </c>
      <c r="S290" s="139">
        <v>22002</v>
      </c>
      <c r="T290" s="138">
        <v>23233</v>
      </c>
      <c r="U290" s="151"/>
      <c r="W290" s="183">
        <v>-77</v>
      </c>
      <c r="X290" s="183">
        <v>567</v>
      </c>
      <c r="Y290" s="184">
        <v>3050</v>
      </c>
      <c r="Z290" s="130">
        <v>3655</v>
      </c>
      <c r="AA290" s="130">
        <v>0</v>
      </c>
      <c r="AB290" s="130">
        <v>0</v>
      </c>
      <c r="AC290" s="184">
        <v>-605</v>
      </c>
      <c r="AD290" s="183">
        <v>-1325</v>
      </c>
      <c r="AE290" s="183">
        <v>1489</v>
      </c>
      <c r="AF290" s="183">
        <v>0</v>
      </c>
      <c r="AG290" s="183">
        <v>-441</v>
      </c>
      <c r="AH290" s="183">
        <v>16618</v>
      </c>
      <c r="AI290" s="183">
        <v>2992</v>
      </c>
      <c r="AJ290" s="167"/>
      <c r="AK290" s="183">
        <v>1259</v>
      </c>
      <c r="AL290" s="183">
        <v>-711</v>
      </c>
      <c r="AM290" s="180">
        <v>-3109</v>
      </c>
      <c r="AN290" s="139">
        <v>22002</v>
      </c>
      <c r="AO290" s="138">
        <v>17832</v>
      </c>
      <c r="AP290" s="184">
        <v>2297</v>
      </c>
      <c r="AQ290" s="138">
        <v>1873</v>
      </c>
      <c r="AR290" s="109">
        <v>20.75</v>
      </c>
      <c r="AS290" s="144"/>
      <c r="AT290" s="139">
        <v>57</v>
      </c>
      <c r="AU290" s="228">
        <v>6544</v>
      </c>
      <c r="AV290" s="138"/>
      <c r="AW290" s="224">
        <v>1.3714546595902528</v>
      </c>
      <c r="AX290" s="225">
        <v>26.292527623447157</v>
      </c>
      <c r="AY290" s="139">
        <v>-1358.1907090464547</v>
      </c>
      <c r="AZ290" s="144"/>
      <c r="BA290"/>
      <c r="BC290" s="189">
        <v>66.482919254658384</v>
      </c>
      <c r="BD290" s="183">
        <v>1197.8911980440096</v>
      </c>
      <c r="BE290" s="140">
        <v>33.501176718535952</v>
      </c>
      <c r="BF290" s="139">
        <v>13051.191931540343</v>
      </c>
      <c r="BG290" s="184">
        <v>15654</v>
      </c>
      <c r="BH290" s="216">
        <v>33978</v>
      </c>
      <c r="BI290" s="216">
        <v>78039</v>
      </c>
      <c r="BJ290" s="216">
        <v>-43893</v>
      </c>
      <c r="BK290" s="216">
        <v>22919</v>
      </c>
      <c r="BL290" s="216">
        <v>23198</v>
      </c>
      <c r="BM290" s="151"/>
      <c r="BO290" s="216">
        <v>-74</v>
      </c>
      <c r="BP290" s="216">
        <v>769</v>
      </c>
      <c r="BQ290" s="216">
        <v>2919</v>
      </c>
      <c r="BR290" s="216">
        <v>3917</v>
      </c>
      <c r="BS290" s="216">
        <v>0</v>
      </c>
      <c r="BT290" s="216">
        <v>358</v>
      </c>
      <c r="BU290" s="216">
        <v>-1356</v>
      </c>
      <c r="BV290" s="183">
        <v>144</v>
      </c>
      <c r="BW290" s="183">
        <v>0</v>
      </c>
      <c r="BX290" s="183">
        <v>0</v>
      </c>
      <c r="BY290" s="183">
        <v>-1212</v>
      </c>
      <c r="BZ290" s="183">
        <v>15406</v>
      </c>
      <c r="CA290" s="183">
        <v>2595</v>
      </c>
      <c r="CB290" s="167"/>
      <c r="CC290" s="183">
        <v>-240</v>
      </c>
      <c r="CD290" s="183">
        <v>-814</v>
      </c>
      <c r="CE290" s="180">
        <v>-3606</v>
      </c>
      <c r="CF290" s="139">
        <v>22919</v>
      </c>
      <c r="CG290" s="216">
        <v>18558</v>
      </c>
      <c r="CH290" s="216">
        <v>2447</v>
      </c>
      <c r="CI290" s="216">
        <v>1914</v>
      </c>
      <c r="CJ290" s="212">
        <v>21.25</v>
      </c>
      <c r="CK290" s="144"/>
      <c r="CL290" s="130">
        <v>67</v>
      </c>
      <c r="CM290" s="228">
        <v>6510</v>
      </c>
      <c r="CN290" s="138"/>
      <c r="CO290" s="142">
        <v>4.7378777231201683</v>
      </c>
      <c r="CP290" s="142">
        <v>32.543639399800576</v>
      </c>
      <c r="CQ290" s="183">
        <v>-2082.9493087557603</v>
      </c>
      <c r="CR290" s="144"/>
      <c r="CS290"/>
      <c r="CU290" s="232">
        <v>62.074785591766727</v>
      </c>
      <c r="CV290" s="143">
        <v>1467.8955453149001</v>
      </c>
      <c r="CW290" s="146">
        <v>38.786348927463386</v>
      </c>
      <c r="CX290" s="143">
        <v>13813.671274961598</v>
      </c>
      <c r="CY290" s="131">
        <v>15333</v>
      </c>
      <c r="CZ290" s="229">
        <v>33638</v>
      </c>
      <c r="DA290" s="229">
        <v>77094</v>
      </c>
      <c r="DB290" s="216">
        <v>-43439</v>
      </c>
      <c r="DC290" s="229">
        <v>22751</v>
      </c>
      <c r="DD290" s="229">
        <v>26995</v>
      </c>
      <c r="DE290" s="151"/>
      <c r="DG290" s="229">
        <v>-70</v>
      </c>
      <c r="DH290" s="229">
        <v>412</v>
      </c>
      <c r="DI290" s="229">
        <v>6649</v>
      </c>
      <c r="DJ290" s="229">
        <v>4227</v>
      </c>
      <c r="DK290" s="229">
        <v>0</v>
      </c>
      <c r="DL290" s="229">
        <v>0</v>
      </c>
      <c r="DM290" s="229">
        <v>2422</v>
      </c>
      <c r="DN290" s="130">
        <v>144</v>
      </c>
      <c r="DO290" s="130">
        <v>-1400</v>
      </c>
      <c r="DP290" s="130">
        <v>0</v>
      </c>
      <c r="DQ290" s="130">
        <v>1166</v>
      </c>
      <c r="DR290" s="130">
        <v>16572</v>
      </c>
      <c r="DS290" s="130">
        <v>6594</v>
      </c>
      <c r="DT290" s="167"/>
      <c r="DU290" s="183">
        <v>360</v>
      </c>
      <c r="DV290" s="183">
        <v>-1330</v>
      </c>
      <c r="DW290" s="180">
        <v>-4670</v>
      </c>
      <c r="DX290" s="130">
        <v>22751</v>
      </c>
      <c r="DY290" s="229">
        <v>18223</v>
      </c>
      <c r="DZ290" s="229">
        <v>2781</v>
      </c>
      <c r="EA290" s="229">
        <v>1747</v>
      </c>
      <c r="EB290" s="212">
        <v>21.25</v>
      </c>
      <c r="EC290" s="208"/>
      <c r="ED290" s="183">
        <v>30.852941176470601</v>
      </c>
      <c r="EE290" s="3">
        <v>51205</v>
      </c>
      <c r="EF290" s="183">
        <v>53340</v>
      </c>
      <c r="EG290" s="130">
        <v>52578</v>
      </c>
      <c r="EH290" s="130"/>
      <c r="EI290" s="130"/>
      <c r="EJ290" s="130"/>
      <c r="EK290" s="183">
        <v>-6379</v>
      </c>
      <c r="EL290" s="183">
        <v>197</v>
      </c>
      <c r="EM290" s="183">
        <v>81</v>
      </c>
      <c r="EN290" s="226">
        <v>-6508</v>
      </c>
      <c r="EO290" s="226">
        <v>202</v>
      </c>
      <c r="EP290" s="226">
        <v>105</v>
      </c>
      <c r="EQ290" s="226">
        <v>-11547</v>
      </c>
      <c r="ER290" s="230">
        <v>207</v>
      </c>
      <c r="ES290" s="230">
        <v>76</v>
      </c>
      <c r="ET290" s="3">
        <v>2500</v>
      </c>
      <c r="EU290" s="211">
        <v>0</v>
      </c>
      <c r="EV290" s="183">
        <v>5000</v>
      </c>
      <c r="EW290" s="183">
        <v>0</v>
      </c>
      <c r="EX290" s="130">
        <v>5000</v>
      </c>
      <c r="EY290" s="183">
        <v>0</v>
      </c>
      <c r="EZ290" s="3">
        <v>7477</v>
      </c>
      <c r="FA290" s="3">
        <v>6663</v>
      </c>
      <c r="FB290" s="3">
        <v>814</v>
      </c>
      <c r="FC290" s="3">
        <v>0</v>
      </c>
      <c r="FD290" s="226">
        <v>11662</v>
      </c>
      <c r="FE290" s="183">
        <v>10461</v>
      </c>
      <c r="FF290" s="183">
        <v>1201</v>
      </c>
      <c r="FG290" s="183">
        <v>0</v>
      </c>
      <c r="FH290" s="230">
        <v>15333</v>
      </c>
      <c r="FI290" s="130">
        <v>13491</v>
      </c>
      <c r="FJ290" s="130">
        <v>1842</v>
      </c>
      <c r="FK290" s="130">
        <v>0</v>
      </c>
      <c r="FL290" s="29">
        <v>2892.2688826235349</v>
      </c>
      <c r="FM290" s="139">
        <v>3749.8471882640583</v>
      </c>
      <c r="FN290" s="139">
        <v>4515.0537634408602</v>
      </c>
      <c r="FO290" s="172">
        <f t="shared" si="12"/>
        <v>857.55294117647054</v>
      </c>
      <c r="FP290" s="170">
        <f t="shared" si="13"/>
        <v>131.72856239269902</v>
      </c>
      <c r="FR290" s="175"/>
      <c r="FS290" s="195"/>
      <c r="FV290" s="175">
        <v>444</v>
      </c>
      <c r="FW290" s="2">
        <f t="shared" si="14"/>
        <v>-444</v>
      </c>
      <c r="FZ290" s="186"/>
      <c r="GA290" s="2"/>
      <c r="GB290" s="2"/>
    </row>
    <row r="291" spans="1:184" ht="13" x14ac:dyDescent="0.3">
      <c r="A291" s="77">
        <v>946</v>
      </c>
      <c r="B291" s="75" t="s">
        <v>373</v>
      </c>
      <c r="C291" s="179">
        <v>6613</v>
      </c>
      <c r="D291" s="138"/>
      <c r="E291" s="142">
        <v>0.32870370370370372</v>
      </c>
      <c r="F291" s="142">
        <v>32.785972724742557</v>
      </c>
      <c r="G291" s="183">
        <v>-2173.5974595493722</v>
      </c>
      <c r="H291" s="144"/>
      <c r="I291" s="186"/>
      <c r="K291" s="210">
        <v>56.318531027757295</v>
      </c>
      <c r="L291" s="143">
        <v>105.24724028428852</v>
      </c>
      <c r="M291" s="146">
        <v>4.3821910955477739</v>
      </c>
      <c r="N291" s="143">
        <v>8766.218055345531</v>
      </c>
      <c r="O291" s="138">
        <v>24632</v>
      </c>
      <c r="P291" s="143">
        <v>14038</v>
      </c>
      <c r="Q291" s="184">
        <v>53708</v>
      </c>
      <c r="R291" s="184">
        <v>-39670</v>
      </c>
      <c r="S291" s="139">
        <v>21815</v>
      </c>
      <c r="T291" s="138">
        <v>18042</v>
      </c>
      <c r="U291" s="151"/>
      <c r="W291" s="183">
        <v>-18</v>
      </c>
      <c r="X291" s="183">
        <v>26</v>
      </c>
      <c r="Y291" s="184">
        <v>195</v>
      </c>
      <c r="Z291" s="130">
        <v>2140</v>
      </c>
      <c r="AA291" s="130">
        <v>0</v>
      </c>
      <c r="AB291" s="130">
        <v>0</v>
      </c>
      <c r="AC291" s="184">
        <v>-1945</v>
      </c>
      <c r="AD291" s="183">
        <v>44</v>
      </c>
      <c r="AE291" s="183">
        <v>0</v>
      </c>
      <c r="AF291" s="183">
        <v>11</v>
      </c>
      <c r="AG291" s="183">
        <v>-1890</v>
      </c>
      <c r="AH291" s="183">
        <v>5746</v>
      </c>
      <c r="AI291" s="183">
        <v>241</v>
      </c>
      <c r="AJ291" s="167"/>
      <c r="AK291" s="183">
        <v>398</v>
      </c>
      <c r="AL291" s="183">
        <v>-630</v>
      </c>
      <c r="AM291" s="180">
        <v>-3098</v>
      </c>
      <c r="AN291" s="139">
        <v>21815</v>
      </c>
      <c r="AO291" s="138">
        <v>18173</v>
      </c>
      <c r="AP291" s="184">
        <v>1864</v>
      </c>
      <c r="AQ291" s="138">
        <v>1778</v>
      </c>
      <c r="AR291" s="109">
        <v>21</v>
      </c>
      <c r="AS291" s="144"/>
      <c r="AT291" s="139">
        <v>243</v>
      </c>
      <c r="AU291" s="228">
        <v>6461</v>
      </c>
      <c r="AV291" s="138"/>
      <c r="AW291" s="224">
        <v>-0.55918270373010215</v>
      </c>
      <c r="AX291" s="225">
        <v>53.546742209631731</v>
      </c>
      <c r="AY291" s="139">
        <v>-3192.5398545116855</v>
      </c>
      <c r="AZ291" s="144"/>
      <c r="BA291"/>
      <c r="BC291" s="189">
        <v>40.032440249359986</v>
      </c>
      <c r="BD291" s="183">
        <v>525.30568023525768</v>
      </c>
      <c r="BE291" s="140">
        <v>19.616943784639748</v>
      </c>
      <c r="BF291" s="139">
        <v>9774.0287881132954</v>
      </c>
      <c r="BG291" s="184">
        <v>23069</v>
      </c>
      <c r="BH291" s="216">
        <v>11606</v>
      </c>
      <c r="BI291" s="216">
        <v>54524</v>
      </c>
      <c r="BJ291" s="216">
        <v>-42918</v>
      </c>
      <c r="BK291" s="216">
        <v>22616</v>
      </c>
      <c r="BL291" s="216">
        <v>18728</v>
      </c>
      <c r="BM291" s="151"/>
      <c r="BO291" s="216">
        <v>-24</v>
      </c>
      <c r="BP291" s="216">
        <v>98</v>
      </c>
      <c r="BQ291" s="216">
        <v>-1500</v>
      </c>
      <c r="BR291" s="216">
        <v>1694</v>
      </c>
      <c r="BS291" s="216">
        <v>0</v>
      </c>
      <c r="BT291" s="216">
        <v>0</v>
      </c>
      <c r="BU291" s="216">
        <v>-3194</v>
      </c>
      <c r="BV291" s="183">
        <v>44</v>
      </c>
      <c r="BW291" s="183">
        <v>0</v>
      </c>
      <c r="BX291" s="183">
        <v>9</v>
      </c>
      <c r="BY291" s="183">
        <v>-3141</v>
      </c>
      <c r="BZ291" s="183">
        <v>2604</v>
      </c>
      <c r="CA291" s="183">
        <v>117</v>
      </c>
      <c r="CB291" s="167"/>
      <c r="CC291" s="183">
        <v>-1732</v>
      </c>
      <c r="CD291" s="183">
        <v>-576</v>
      </c>
      <c r="CE291" s="180">
        <v>-6054</v>
      </c>
      <c r="CF291" s="139">
        <v>22616</v>
      </c>
      <c r="CG291" s="216">
        <v>19065</v>
      </c>
      <c r="CH291" s="216">
        <v>1721</v>
      </c>
      <c r="CI291" s="216">
        <v>1830</v>
      </c>
      <c r="CJ291" s="212">
        <v>21</v>
      </c>
      <c r="CK291" s="144"/>
      <c r="CL291" s="130">
        <v>44</v>
      </c>
      <c r="CM291" s="228">
        <v>6388</v>
      </c>
      <c r="CN291" s="138"/>
      <c r="CO291" s="142">
        <v>2.0267409470752091</v>
      </c>
      <c r="CP291" s="142">
        <v>67.296888316838576</v>
      </c>
      <c r="CQ291" s="183">
        <v>-4233.5629304946779</v>
      </c>
      <c r="CR291" s="144"/>
      <c r="CS291"/>
      <c r="CU291" s="232">
        <v>36.185826975300657</v>
      </c>
      <c r="CV291" s="143">
        <v>1013.3061991233562</v>
      </c>
      <c r="CW291" s="146">
        <v>36.650611193844625</v>
      </c>
      <c r="CX291" s="143">
        <v>10091.421415153412</v>
      </c>
      <c r="CY291" s="131">
        <v>23856</v>
      </c>
      <c r="CZ291" s="229">
        <v>11905</v>
      </c>
      <c r="DA291" s="229">
        <v>53946</v>
      </c>
      <c r="DB291" s="216">
        <v>-42041</v>
      </c>
      <c r="DC291" s="229">
        <v>23523</v>
      </c>
      <c r="DD291" s="229">
        <v>22065</v>
      </c>
      <c r="DE291" s="151"/>
      <c r="DG291" s="229">
        <v>-87</v>
      </c>
      <c r="DH291" s="229">
        <v>84</v>
      </c>
      <c r="DI291" s="229">
        <v>3544</v>
      </c>
      <c r="DJ291" s="229">
        <v>1643</v>
      </c>
      <c r="DK291" s="229">
        <v>0</v>
      </c>
      <c r="DL291" s="229">
        <v>0</v>
      </c>
      <c r="DM291" s="229">
        <v>1901</v>
      </c>
      <c r="DN291" s="130">
        <v>-1356</v>
      </c>
      <c r="DO291" s="130">
        <v>750</v>
      </c>
      <c r="DP291" s="130">
        <v>-7</v>
      </c>
      <c r="DQ291" s="130">
        <v>1288</v>
      </c>
      <c r="DR291" s="130">
        <v>3892</v>
      </c>
      <c r="DS291" s="130">
        <v>1881</v>
      </c>
      <c r="DT291" s="167"/>
      <c r="DU291" s="183">
        <v>-841</v>
      </c>
      <c r="DV291" s="183">
        <v>-1701</v>
      </c>
      <c r="DW291" s="180">
        <v>-6534</v>
      </c>
      <c r="DX291" s="130">
        <v>23523</v>
      </c>
      <c r="DY291" s="229">
        <v>19837</v>
      </c>
      <c r="DZ291" s="229">
        <v>1925</v>
      </c>
      <c r="EA291" s="229">
        <v>1761</v>
      </c>
      <c r="EB291" s="212">
        <v>21.5</v>
      </c>
      <c r="EC291" s="208"/>
      <c r="ED291" s="183">
        <v>206.13235294117601</v>
      </c>
      <c r="EE291" s="3">
        <v>21431</v>
      </c>
      <c r="EF291" s="183">
        <v>24517</v>
      </c>
      <c r="EG291" s="130">
        <v>23074</v>
      </c>
      <c r="EH291" s="130"/>
      <c r="EI291" s="130"/>
      <c r="EJ291" s="130"/>
      <c r="EK291" s="183">
        <v>-3578</v>
      </c>
      <c r="EL291" s="183">
        <v>228</v>
      </c>
      <c r="EM291" s="183">
        <v>11</v>
      </c>
      <c r="EN291" s="226">
        <v>-7993</v>
      </c>
      <c r="EO291" s="226">
        <v>368</v>
      </c>
      <c r="EP291" s="226">
        <v>1454</v>
      </c>
      <c r="EQ291" s="226">
        <v>-8702</v>
      </c>
      <c r="ER291" s="230">
        <v>237</v>
      </c>
      <c r="ES291" s="230">
        <v>50</v>
      </c>
      <c r="ET291" s="3">
        <v>0</v>
      </c>
      <c r="EU291" s="211">
        <v>1000</v>
      </c>
      <c r="EV291" s="183">
        <v>11000</v>
      </c>
      <c r="EW291" s="183">
        <v>200</v>
      </c>
      <c r="EX291" s="130">
        <v>12000</v>
      </c>
      <c r="EY291" s="183">
        <v>-200</v>
      </c>
      <c r="EZ291" s="3">
        <v>6613</v>
      </c>
      <c r="FA291" s="3">
        <v>3018</v>
      </c>
      <c r="FB291" s="3">
        <v>3595</v>
      </c>
      <c r="FC291" s="3">
        <v>31</v>
      </c>
      <c r="FD291" s="226">
        <v>17238</v>
      </c>
      <c r="FE291" s="183">
        <v>12334</v>
      </c>
      <c r="FF291" s="183">
        <v>4904</v>
      </c>
      <c r="FG291" s="183">
        <v>31</v>
      </c>
      <c r="FH291" s="230">
        <v>27336</v>
      </c>
      <c r="FI291" s="130">
        <v>22626</v>
      </c>
      <c r="FJ291" s="130">
        <v>4710</v>
      </c>
      <c r="FK291" s="130">
        <v>0</v>
      </c>
      <c r="FL291" s="29">
        <v>1816.1197641010131</v>
      </c>
      <c r="FM291" s="139">
        <v>3750.3482433059899</v>
      </c>
      <c r="FN291" s="139">
        <v>5585.0031308703819</v>
      </c>
      <c r="FO291" s="172">
        <f t="shared" si="12"/>
        <v>922.65116279069764</v>
      </c>
      <c r="FP291" s="170">
        <f t="shared" si="13"/>
        <v>144.43505992340289</v>
      </c>
      <c r="FR291" s="175"/>
      <c r="FS291" s="195"/>
      <c r="FV291" s="175">
        <v>293</v>
      </c>
      <c r="FW291" s="2">
        <f t="shared" si="14"/>
        <v>-293</v>
      </c>
      <c r="FZ291" s="186"/>
      <c r="GA291" s="2"/>
      <c r="GB291" s="2"/>
    </row>
    <row r="292" spans="1:184" ht="13" x14ac:dyDescent="0.3">
      <c r="A292" s="77">
        <v>976</v>
      </c>
      <c r="B292" s="75" t="s">
        <v>280</v>
      </c>
      <c r="C292" s="179">
        <v>4022</v>
      </c>
      <c r="D292" s="138"/>
      <c r="E292" s="142">
        <v>9.0649350649350655</v>
      </c>
      <c r="F292" s="142">
        <v>13.940510930220652</v>
      </c>
      <c r="G292" s="183">
        <v>1290.9000497265042</v>
      </c>
      <c r="H292" s="144"/>
      <c r="I292" s="186"/>
      <c r="K292" s="210">
        <v>83.941187205088767</v>
      </c>
      <c r="L292" s="143">
        <v>2213.5753356539035</v>
      </c>
      <c r="M292" s="146">
        <v>78.032729805013929</v>
      </c>
      <c r="N292" s="143">
        <v>10354.05271009448</v>
      </c>
      <c r="O292" s="138">
        <v>17591</v>
      </c>
      <c r="P292" s="143">
        <v>8144</v>
      </c>
      <c r="Q292" s="184">
        <v>38216</v>
      </c>
      <c r="R292" s="184">
        <v>-30072</v>
      </c>
      <c r="S292" s="139">
        <v>12490</v>
      </c>
      <c r="T292" s="138">
        <v>18432</v>
      </c>
      <c r="U292" s="151"/>
      <c r="W292" s="183">
        <v>8</v>
      </c>
      <c r="X292" s="183">
        <v>-161</v>
      </c>
      <c r="Y292" s="184">
        <v>697</v>
      </c>
      <c r="Z292" s="130">
        <v>1461</v>
      </c>
      <c r="AA292" s="130">
        <v>0</v>
      </c>
      <c r="AB292" s="130">
        <v>0</v>
      </c>
      <c r="AC292" s="184">
        <v>-764</v>
      </c>
      <c r="AD292" s="183">
        <v>63</v>
      </c>
      <c r="AE292" s="183">
        <v>0</v>
      </c>
      <c r="AF292" s="183">
        <v>203</v>
      </c>
      <c r="AG292" s="183">
        <v>-498</v>
      </c>
      <c r="AH292" s="183">
        <v>7470</v>
      </c>
      <c r="AI292" s="183">
        <v>843</v>
      </c>
      <c r="AJ292" s="167"/>
      <c r="AK292" s="183">
        <v>-253</v>
      </c>
      <c r="AL292" s="183">
        <v>-76</v>
      </c>
      <c r="AM292" s="180">
        <v>-1349</v>
      </c>
      <c r="AN292" s="139">
        <v>12490</v>
      </c>
      <c r="AO292" s="138">
        <v>10553</v>
      </c>
      <c r="AP292" s="184">
        <v>696</v>
      </c>
      <c r="AQ292" s="138">
        <v>1241</v>
      </c>
      <c r="AR292" s="109">
        <v>20</v>
      </c>
      <c r="AS292" s="144"/>
      <c r="AT292" s="139">
        <v>182</v>
      </c>
      <c r="AU292" s="228">
        <v>3918</v>
      </c>
      <c r="AV292" s="138"/>
      <c r="AW292" s="224">
        <v>4.4400656814449917</v>
      </c>
      <c r="AX292" s="225">
        <v>14.083530564919075</v>
      </c>
      <c r="AY292" s="139">
        <v>1433.1291475242472</v>
      </c>
      <c r="AZ292" s="144"/>
      <c r="BA292"/>
      <c r="BC292" s="189">
        <v>83.142087023488642</v>
      </c>
      <c r="BD292" s="183">
        <v>2357.3251659009698</v>
      </c>
      <c r="BE292" s="140">
        <v>80.27097173607639</v>
      </c>
      <c r="BF292" s="139">
        <v>10718.989280245023</v>
      </c>
      <c r="BG292" s="184">
        <v>19033</v>
      </c>
      <c r="BH292" s="216">
        <v>11151</v>
      </c>
      <c r="BI292" s="216">
        <v>40660</v>
      </c>
      <c r="BJ292" s="216">
        <v>-29509</v>
      </c>
      <c r="BK292" s="216">
        <v>12569</v>
      </c>
      <c r="BL292" s="216">
        <v>18109</v>
      </c>
      <c r="BM292" s="151"/>
      <c r="BO292" s="216">
        <v>5</v>
      </c>
      <c r="BP292" s="216">
        <v>515</v>
      </c>
      <c r="BQ292" s="216">
        <v>1689</v>
      </c>
      <c r="BR292" s="216">
        <v>1500</v>
      </c>
      <c r="BS292" s="216">
        <v>0</v>
      </c>
      <c r="BT292" s="216">
        <v>0</v>
      </c>
      <c r="BU292" s="216">
        <v>189</v>
      </c>
      <c r="BV292" s="183">
        <v>63</v>
      </c>
      <c r="BW292" s="183">
        <v>130</v>
      </c>
      <c r="BX292" s="183">
        <v>53</v>
      </c>
      <c r="BY292" s="183">
        <v>435</v>
      </c>
      <c r="BZ292" s="183">
        <v>7905</v>
      </c>
      <c r="CA292" s="183">
        <v>1689</v>
      </c>
      <c r="CB292" s="167"/>
      <c r="CC292" s="183">
        <v>-536</v>
      </c>
      <c r="CD292" s="183">
        <v>-20</v>
      </c>
      <c r="CE292" s="180">
        <v>329</v>
      </c>
      <c r="CF292" s="139">
        <v>12569</v>
      </c>
      <c r="CG292" s="216">
        <v>10568</v>
      </c>
      <c r="CH292" s="216">
        <v>740</v>
      </c>
      <c r="CI292" s="216">
        <v>1261</v>
      </c>
      <c r="CJ292" s="212">
        <v>20</v>
      </c>
      <c r="CK292" s="144"/>
      <c r="CL292" s="130">
        <v>274</v>
      </c>
      <c r="CM292" s="228">
        <v>3890</v>
      </c>
      <c r="CN292" s="138"/>
      <c r="CO292" s="142">
        <v>94.565217391304344</v>
      </c>
      <c r="CP292" s="142">
        <v>15.957199888589731</v>
      </c>
      <c r="CQ292" s="183">
        <v>1384.0616966580976</v>
      </c>
      <c r="CR292" s="144"/>
      <c r="CS292"/>
      <c r="CU292" s="232">
        <v>81.455018660381072</v>
      </c>
      <c r="CV292" s="143">
        <v>2519.0231362467866</v>
      </c>
      <c r="CW292" s="146">
        <v>82.200707866976174</v>
      </c>
      <c r="CX292" s="143">
        <v>11185.347043701799</v>
      </c>
      <c r="CY292" s="131">
        <v>18584</v>
      </c>
      <c r="CZ292" s="229">
        <v>10417</v>
      </c>
      <c r="DA292" s="229">
        <v>40970</v>
      </c>
      <c r="DB292" s="216">
        <v>-30553</v>
      </c>
      <c r="DC292" s="229">
        <v>12513</v>
      </c>
      <c r="DD292" s="229">
        <v>20154</v>
      </c>
      <c r="DE292" s="151"/>
      <c r="DG292" s="229">
        <v>2</v>
      </c>
      <c r="DH292" s="229">
        <v>58</v>
      </c>
      <c r="DI292" s="229">
        <v>2174</v>
      </c>
      <c r="DJ292" s="229">
        <v>1388</v>
      </c>
      <c r="DK292" s="229">
        <v>0</v>
      </c>
      <c r="DL292" s="229">
        <v>0</v>
      </c>
      <c r="DM292" s="229">
        <v>786</v>
      </c>
      <c r="DN292" s="130">
        <v>-22</v>
      </c>
      <c r="DO292" s="130">
        <v>199</v>
      </c>
      <c r="DP292" s="130">
        <v>377</v>
      </c>
      <c r="DQ292" s="130">
        <v>1340</v>
      </c>
      <c r="DR292" s="130">
        <v>9246</v>
      </c>
      <c r="DS292" s="130">
        <v>2174</v>
      </c>
      <c r="DT292" s="167"/>
      <c r="DU292" s="183">
        <v>-190</v>
      </c>
      <c r="DV292" s="183">
        <v>-22</v>
      </c>
      <c r="DW292" s="180">
        <v>-307</v>
      </c>
      <c r="DX292" s="130">
        <v>12513</v>
      </c>
      <c r="DY292" s="229">
        <v>10594</v>
      </c>
      <c r="DZ292" s="229">
        <v>766</v>
      </c>
      <c r="EA292" s="229">
        <v>1153</v>
      </c>
      <c r="EB292" s="212">
        <v>20</v>
      </c>
      <c r="EC292" s="208"/>
      <c r="ED292" s="183">
        <v>203.11029411764699</v>
      </c>
      <c r="EE292" s="3">
        <v>14866</v>
      </c>
      <c r="EF292" s="183">
        <v>15312</v>
      </c>
      <c r="EG292" s="130">
        <v>16002</v>
      </c>
      <c r="EH292" s="130"/>
      <c r="EI292" s="130"/>
      <c r="EJ292" s="130"/>
      <c r="EK292" s="183">
        <v>-3133</v>
      </c>
      <c r="EL292" s="183">
        <v>103</v>
      </c>
      <c r="EM292" s="183">
        <v>838</v>
      </c>
      <c r="EN292" s="226">
        <v>-1503</v>
      </c>
      <c r="EO292" s="226">
        <v>109</v>
      </c>
      <c r="EP292" s="226">
        <v>34</v>
      </c>
      <c r="EQ292" s="226">
        <v>-2491</v>
      </c>
      <c r="ER292" s="230">
        <v>0</v>
      </c>
      <c r="ES292" s="230">
        <v>10</v>
      </c>
      <c r="ET292" s="3">
        <v>0</v>
      </c>
      <c r="EU292" s="211">
        <v>0</v>
      </c>
      <c r="EV292" s="183">
        <v>0</v>
      </c>
      <c r="EW292" s="183">
        <v>0</v>
      </c>
      <c r="EX292" s="130">
        <v>0</v>
      </c>
      <c r="EY292" s="183">
        <v>0</v>
      </c>
      <c r="EZ292" s="3">
        <v>577</v>
      </c>
      <c r="FA292" s="3">
        <v>557</v>
      </c>
      <c r="FB292" s="3">
        <v>20</v>
      </c>
      <c r="FC292" s="3">
        <v>172</v>
      </c>
      <c r="FD292" s="226">
        <v>557</v>
      </c>
      <c r="FE292" s="183">
        <v>535</v>
      </c>
      <c r="FF292" s="183">
        <v>22</v>
      </c>
      <c r="FG292" s="183">
        <v>165</v>
      </c>
      <c r="FH292" s="230">
        <v>534</v>
      </c>
      <c r="FI292" s="130">
        <v>512</v>
      </c>
      <c r="FJ292" s="130">
        <v>22</v>
      </c>
      <c r="FK292" s="130">
        <v>111</v>
      </c>
      <c r="FL292" s="29">
        <v>945.79811039283936</v>
      </c>
      <c r="FM292" s="139">
        <v>2028.8412455334353</v>
      </c>
      <c r="FN292" s="139">
        <v>1970.694087403599</v>
      </c>
      <c r="FO292" s="172">
        <f t="shared" si="12"/>
        <v>529.70000000000005</v>
      </c>
      <c r="FP292" s="170">
        <f t="shared" si="13"/>
        <v>136.16966580976865</v>
      </c>
      <c r="FR292" s="175"/>
      <c r="FS292" s="195"/>
      <c r="FV292" s="175">
        <v>391</v>
      </c>
      <c r="FW292" s="2">
        <f t="shared" si="14"/>
        <v>-391</v>
      </c>
      <c r="FZ292" s="186"/>
      <c r="GA292" s="2"/>
      <c r="GB292" s="2"/>
    </row>
    <row r="293" spans="1:184" ht="13" x14ac:dyDescent="0.3">
      <c r="A293" s="77">
        <v>977</v>
      </c>
      <c r="B293" s="75" t="s">
        <v>281</v>
      </c>
      <c r="C293" s="179">
        <v>15212</v>
      </c>
      <c r="D293" s="138"/>
      <c r="E293" s="142">
        <v>0.2957290767903365</v>
      </c>
      <c r="F293" s="142">
        <v>78.711442864087573</v>
      </c>
      <c r="G293" s="183">
        <v>-6085.7875361556662</v>
      </c>
      <c r="H293" s="144"/>
      <c r="I293" s="186"/>
      <c r="K293" s="210">
        <v>12.46610812271693</v>
      </c>
      <c r="L293" s="143">
        <v>118.72206153037077</v>
      </c>
      <c r="M293" s="146">
        <v>4.5733572920207859</v>
      </c>
      <c r="N293" s="143">
        <v>9475.2169339994743</v>
      </c>
      <c r="O293" s="138">
        <v>48418</v>
      </c>
      <c r="P293" s="143">
        <v>37954</v>
      </c>
      <c r="Q293" s="184">
        <v>126411</v>
      </c>
      <c r="R293" s="184">
        <v>-88457</v>
      </c>
      <c r="S293" s="139">
        <v>53664</v>
      </c>
      <c r="T293" s="138">
        <v>35920</v>
      </c>
      <c r="U293" s="151"/>
      <c r="W293" s="183">
        <v>-266</v>
      </c>
      <c r="X293" s="183">
        <v>96</v>
      </c>
      <c r="Y293" s="184">
        <v>957</v>
      </c>
      <c r="Z293" s="130">
        <v>8634</v>
      </c>
      <c r="AA293" s="130">
        <v>0</v>
      </c>
      <c r="AB293" s="130">
        <v>0</v>
      </c>
      <c r="AC293" s="184">
        <v>-7677</v>
      </c>
      <c r="AD293" s="183">
        <v>399</v>
      </c>
      <c r="AE293" s="183">
        <v>0</v>
      </c>
      <c r="AF293" s="183">
        <v>0</v>
      </c>
      <c r="AG293" s="183">
        <v>-7278</v>
      </c>
      <c r="AH293" s="183">
        <v>-6186</v>
      </c>
      <c r="AI293" s="183">
        <v>573</v>
      </c>
      <c r="AJ293" s="167"/>
      <c r="AK293" s="183">
        <v>-404</v>
      </c>
      <c r="AL293" s="183">
        <v>-4222</v>
      </c>
      <c r="AM293" s="180">
        <v>-11919</v>
      </c>
      <c r="AN293" s="139">
        <v>53664</v>
      </c>
      <c r="AO293" s="138">
        <v>45470</v>
      </c>
      <c r="AP293" s="184">
        <v>3206</v>
      </c>
      <c r="AQ293" s="138">
        <v>4988</v>
      </c>
      <c r="AR293" s="109">
        <v>21.5</v>
      </c>
      <c r="AS293" s="144"/>
      <c r="AT293" s="139">
        <v>227</v>
      </c>
      <c r="AU293" s="228">
        <v>15255</v>
      </c>
      <c r="AV293" s="138"/>
      <c r="AW293" s="224">
        <v>3.2045661629446248E-2</v>
      </c>
      <c r="AX293" s="225">
        <v>95.481325578412964</v>
      </c>
      <c r="AY293" s="139">
        <v>-7542.3795476892819</v>
      </c>
      <c r="AZ293" s="144"/>
      <c r="BA293"/>
      <c r="BC293" s="189">
        <v>6.7922777875949816</v>
      </c>
      <c r="BD293" s="183">
        <v>406.16191412651591</v>
      </c>
      <c r="BE293" s="140">
        <v>14.040204623904245</v>
      </c>
      <c r="BF293" s="139">
        <v>10558.89872173058</v>
      </c>
      <c r="BG293" s="184">
        <v>50225</v>
      </c>
      <c r="BH293" s="216">
        <v>39524</v>
      </c>
      <c r="BI293" s="216">
        <v>132937</v>
      </c>
      <c r="BJ293" s="216">
        <v>-92900</v>
      </c>
      <c r="BK293" s="216">
        <v>55039</v>
      </c>
      <c r="BL293" s="216">
        <v>37998</v>
      </c>
      <c r="BM293" s="151"/>
      <c r="BO293" s="216">
        <v>-185</v>
      </c>
      <c r="BP293" s="216">
        <v>121</v>
      </c>
      <c r="BQ293" s="216">
        <v>73</v>
      </c>
      <c r="BR293" s="216">
        <v>5846</v>
      </c>
      <c r="BS293" s="216">
        <v>0</v>
      </c>
      <c r="BT293" s="216">
        <v>0</v>
      </c>
      <c r="BU293" s="216">
        <v>-5773</v>
      </c>
      <c r="BV293" s="183">
        <v>398</v>
      </c>
      <c r="BW293" s="183">
        <v>0</v>
      </c>
      <c r="BX293" s="183">
        <v>0</v>
      </c>
      <c r="BY293" s="183">
        <v>-5375</v>
      </c>
      <c r="BZ293" s="183">
        <v>-10862</v>
      </c>
      <c r="CA293" s="183">
        <v>-686</v>
      </c>
      <c r="CB293" s="167"/>
      <c r="CC293" s="183">
        <v>-62</v>
      </c>
      <c r="CD293" s="183">
        <v>-5101</v>
      </c>
      <c r="CE293" s="180">
        <v>-19486</v>
      </c>
      <c r="CF293" s="139">
        <v>55039</v>
      </c>
      <c r="CG293" s="216">
        <v>46959</v>
      </c>
      <c r="CH293" s="216">
        <v>3037</v>
      </c>
      <c r="CI293" s="216">
        <v>5043</v>
      </c>
      <c r="CJ293" s="212">
        <v>22</v>
      </c>
      <c r="CK293" s="144"/>
      <c r="CL293" s="130">
        <v>50</v>
      </c>
      <c r="CM293" s="228">
        <v>15304</v>
      </c>
      <c r="CN293" s="138"/>
      <c r="CO293" s="142">
        <v>5.4652650822669102</v>
      </c>
      <c r="CP293" s="142">
        <v>95.731213252352887</v>
      </c>
      <c r="CQ293" s="183">
        <v>-8209.3570308416092</v>
      </c>
      <c r="CR293" s="144"/>
      <c r="CS293"/>
      <c r="CU293" s="232">
        <v>9.5626234741538347</v>
      </c>
      <c r="CV293" s="143">
        <v>406.88708834291691</v>
      </c>
      <c r="CW293" s="146">
        <v>14.391443098568363</v>
      </c>
      <c r="CX293" s="143">
        <v>10319.589649764768</v>
      </c>
      <c r="CY293" s="131">
        <v>48962</v>
      </c>
      <c r="CZ293" s="229">
        <v>40012</v>
      </c>
      <c r="DA293" s="229">
        <v>133211</v>
      </c>
      <c r="DB293" s="216">
        <v>-93199</v>
      </c>
      <c r="DC293" s="229">
        <v>57478</v>
      </c>
      <c r="DD293" s="229">
        <v>47462</v>
      </c>
      <c r="DE293" s="151"/>
      <c r="DG293" s="229">
        <v>-554</v>
      </c>
      <c r="DH293" s="229">
        <v>46</v>
      </c>
      <c r="DI293" s="229">
        <v>11233</v>
      </c>
      <c r="DJ293" s="229">
        <v>5841</v>
      </c>
      <c r="DK293" s="229">
        <v>0</v>
      </c>
      <c r="DL293" s="229">
        <v>0</v>
      </c>
      <c r="DM293" s="229">
        <v>5392</v>
      </c>
      <c r="DN293" s="130">
        <v>330</v>
      </c>
      <c r="DO293" s="130">
        <v>0</v>
      </c>
      <c r="DP293" s="130">
        <v>0</v>
      </c>
      <c r="DQ293" s="130">
        <v>5722</v>
      </c>
      <c r="DR293" s="130">
        <v>-5139</v>
      </c>
      <c r="DS293" s="130">
        <v>10730</v>
      </c>
      <c r="DT293" s="167"/>
      <c r="DU293" s="183">
        <v>-1067</v>
      </c>
      <c r="DV293" s="183">
        <v>-1463</v>
      </c>
      <c r="DW293" s="180">
        <v>-11065</v>
      </c>
      <c r="DX293" s="130">
        <v>57478</v>
      </c>
      <c r="DY293" s="229">
        <v>49681</v>
      </c>
      <c r="DZ293" s="229">
        <v>3248</v>
      </c>
      <c r="EA293" s="229">
        <v>4549</v>
      </c>
      <c r="EB293" s="212">
        <v>22</v>
      </c>
      <c r="EC293" s="208"/>
      <c r="ED293" s="183">
        <v>113.455882352941</v>
      </c>
      <c r="EE293" s="3">
        <v>59924</v>
      </c>
      <c r="EF293" s="183">
        <v>64250</v>
      </c>
      <c r="EG293" s="130">
        <v>66186</v>
      </c>
      <c r="EH293" s="130"/>
      <c r="EI293" s="130"/>
      <c r="EJ293" s="130">
        <v>1500</v>
      </c>
      <c r="EK293" s="183">
        <v>-13084</v>
      </c>
      <c r="EL293" s="183">
        <v>40</v>
      </c>
      <c r="EM293" s="183">
        <v>552</v>
      </c>
      <c r="EN293" s="226">
        <v>-20156</v>
      </c>
      <c r="EO293" s="226">
        <v>284</v>
      </c>
      <c r="EP293" s="226">
        <v>1072</v>
      </c>
      <c r="EQ293" s="226">
        <v>-22758</v>
      </c>
      <c r="ER293" s="230">
        <v>222</v>
      </c>
      <c r="ES293" s="230">
        <v>741</v>
      </c>
      <c r="ET293" s="3">
        <v>1440</v>
      </c>
      <c r="EU293" s="211">
        <v>13000</v>
      </c>
      <c r="EV293" s="183">
        <v>0</v>
      </c>
      <c r="EW293" s="183">
        <v>31000</v>
      </c>
      <c r="EX293" s="130">
        <v>57733</v>
      </c>
      <c r="EY293" s="183">
        <v>-44000</v>
      </c>
      <c r="EZ293" s="3">
        <v>83145</v>
      </c>
      <c r="FA293" s="3">
        <v>4044</v>
      </c>
      <c r="FB293" s="3">
        <v>79101</v>
      </c>
      <c r="FC293" s="3">
        <v>0</v>
      </c>
      <c r="FD293" s="226">
        <v>109044</v>
      </c>
      <c r="FE293" s="183">
        <v>2582</v>
      </c>
      <c r="FF293" s="183">
        <v>106462</v>
      </c>
      <c r="FG293" s="183">
        <v>0</v>
      </c>
      <c r="FH293" s="230">
        <v>121316</v>
      </c>
      <c r="FI293" s="130">
        <v>32676</v>
      </c>
      <c r="FJ293" s="130">
        <v>88640</v>
      </c>
      <c r="FK293" s="130">
        <v>2550</v>
      </c>
      <c r="FL293" s="29">
        <v>6149.6844596371293</v>
      </c>
      <c r="FM293" s="139">
        <v>7813.3726647000985</v>
      </c>
      <c r="FN293" s="139">
        <v>8720.0078410872975</v>
      </c>
      <c r="FO293" s="172">
        <f t="shared" si="12"/>
        <v>2258.2272727272725</v>
      </c>
      <c r="FP293" s="170">
        <f t="shared" si="13"/>
        <v>147.55797652425983</v>
      </c>
      <c r="FR293" s="175"/>
      <c r="FS293" s="195"/>
      <c r="FV293" s="175">
        <v>5001</v>
      </c>
      <c r="FW293" s="2">
        <f t="shared" si="14"/>
        <v>-5001</v>
      </c>
      <c r="FZ293" s="186"/>
      <c r="GA293" s="2"/>
      <c r="GB293" s="2"/>
    </row>
    <row r="294" spans="1:184" ht="13" x14ac:dyDescent="0.3">
      <c r="A294" s="77">
        <v>980</v>
      </c>
      <c r="B294" s="75" t="s">
        <v>282</v>
      </c>
      <c r="C294" s="179">
        <v>32983</v>
      </c>
      <c r="D294" s="138"/>
      <c r="E294" s="142">
        <v>0.83280561246662943</v>
      </c>
      <c r="F294" s="142">
        <v>57.512836987238757</v>
      </c>
      <c r="G294" s="183">
        <v>-2123.7000879240823</v>
      </c>
      <c r="H294" s="144"/>
      <c r="I294" s="186"/>
      <c r="K294" s="210">
        <v>53.647854421222178</v>
      </c>
      <c r="L294" s="143">
        <v>742.9281751205167</v>
      </c>
      <c r="M294" s="146">
        <v>42.702940137314627</v>
      </c>
      <c r="N294" s="143">
        <v>6350.1197586635535</v>
      </c>
      <c r="O294" s="138">
        <v>82610</v>
      </c>
      <c r="P294" s="143">
        <v>29073</v>
      </c>
      <c r="Q294" s="184">
        <v>184290</v>
      </c>
      <c r="R294" s="184">
        <v>-155217</v>
      </c>
      <c r="S294" s="139">
        <v>125360</v>
      </c>
      <c r="T294" s="138">
        <v>40819</v>
      </c>
      <c r="U294" s="151"/>
      <c r="W294" s="183">
        <v>-617</v>
      </c>
      <c r="X294" s="183">
        <v>1966</v>
      </c>
      <c r="Y294" s="184">
        <v>12311</v>
      </c>
      <c r="Z294" s="130">
        <v>10656</v>
      </c>
      <c r="AA294" s="131">
        <v>0</v>
      </c>
      <c r="AB294" s="130">
        <v>0</v>
      </c>
      <c r="AC294" s="184">
        <v>1655</v>
      </c>
      <c r="AD294" s="183">
        <v>-3087</v>
      </c>
      <c r="AE294" s="183">
        <v>3897</v>
      </c>
      <c r="AF294" s="183">
        <v>0</v>
      </c>
      <c r="AG294" s="183">
        <v>2465</v>
      </c>
      <c r="AH294" s="183">
        <v>51268</v>
      </c>
      <c r="AI294" s="183">
        <v>6889</v>
      </c>
      <c r="AJ294" s="167"/>
      <c r="AK294" s="183">
        <v>2168</v>
      </c>
      <c r="AL294" s="183">
        <v>-15004</v>
      </c>
      <c r="AM294" s="180">
        <v>1055</v>
      </c>
      <c r="AN294" s="139">
        <v>125360</v>
      </c>
      <c r="AO294" s="138">
        <v>111980</v>
      </c>
      <c r="AP294" s="184">
        <v>5805</v>
      </c>
      <c r="AQ294" s="138">
        <v>7575</v>
      </c>
      <c r="AR294" s="109">
        <v>20.5</v>
      </c>
      <c r="AS294" s="144"/>
      <c r="AT294" s="139">
        <v>84</v>
      </c>
      <c r="AU294" s="228">
        <v>33254</v>
      </c>
      <c r="AV294" s="138"/>
      <c r="AW294" s="224">
        <v>0.42664874799897229</v>
      </c>
      <c r="AX294" s="225">
        <v>59.103258768153673</v>
      </c>
      <c r="AY294" s="139">
        <v>-2360.3476273531005</v>
      </c>
      <c r="AZ294" s="144"/>
      <c r="BA294"/>
      <c r="BC294" s="189">
        <v>51.615245436455758</v>
      </c>
      <c r="BD294" s="183">
        <v>652.19221747759673</v>
      </c>
      <c r="BE294" s="140">
        <v>36.145841419145682</v>
      </c>
      <c r="BF294" s="139">
        <v>6585.8242617429478</v>
      </c>
      <c r="BG294" s="184">
        <v>85399</v>
      </c>
      <c r="BH294" s="216">
        <v>22675</v>
      </c>
      <c r="BI294" s="216">
        <v>196419</v>
      </c>
      <c r="BJ294" s="216">
        <v>-168338</v>
      </c>
      <c r="BK294" s="216">
        <v>129803</v>
      </c>
      <c r="BL294" s="216">
        <v>41491</v>
      </c>
      <c r="BM294" s="151"/>
      <c r="BO294" s="216">
        <v>-737</v>
      </c>
      <c r="BP294" s="216">
        <v>1963</v>
      </c>
      <c r="BQ294" s="216">
        <v>4182</v>
      </c>
      <c r="BR294" s="216">
        <v>10231</v>
      </c>
      <c r="BS294" s="216">
        <v>0</v>
      </c>
      <c r="BT294" s="216">
        <v>0</v>
      </c>
      <c r="BU294" s="216">
        <v>-6049</v>
      </c>
      <c r="BV294" s="183">
        <v>-796</v>
      </c>
      <c r="BW294" s="183">
        <v>1267</v>
      </c>
      <c r="BX294" s="183">
        <v>0</v>
      </c>
      <c r="BY294" s="183">
        <v>-5578</v>
      </c>
      <c r="BZ294" s="183">
        <v>45690</v>
      </c>
      <c r="CA294" s="183">
        <v>2469</v>
      </c>
      <c r="CB294" s="167"/>
      <c r="CC294" s="183">
        <v>1091</v>
      </c>
      <c r="CD294" s="183">
        <v>-13792</v>
      </c>
      <c r="CE294" s="180">
        <v>-8753</v>
      </c>
      <c r="CF294" s="139">
        <v>129803</v>
      </c>
      <c r="CG294" s="216">
        <v>116140</v>
      </c>
      <c r="CH294" s="216">
        <v>6099</v>
      </c>
      <c r="CI294" s="216">
        <v>7564</v>
      </c>
      <c r="CJ294" s="212">
        <v>20.5</v>
      </c>
      <c r="CK294" s="144"/>
      <c r="CL294" s="130">
        <v>230</v>
      </c>
      <c r="CM294" s="228">
        <v>33352</v>
      </c>
      <c r="CN294" s="138"/>
      <c r="CO294" s="142">
        <v>1.2682678607775291</v>
      </c>
      <c r="CP294" s="142">
        <v>51.855505337690118</v>
      </c>
      <c r="CQ294" s="183">
        <v>-2121.5519309186857</v>
      </c>
      <c r="CR294" s="144"/>
      <c r="CS294"/>
      <c r="CU294" s="232">
        <v>54.152355824772847</v>
      </c>
      <c r="CV294" s="143">
        <v>732.8496042216359</v>
      </c>
      <c r="CW294" s="146">
        <v>40.452575066428459</v>
      </c>
      <c r="CX294" s="143">
        <v>6612.4370352602546</v>
      </c>
      <c r="CY294" s="131">
        <v>86468</v>
      </c>
      <c r="CZ294" s="229">
        <v>27142</v>
      </c>
      <c r="DA294" s="229">
        <v>199600</v>
      </c>
      <c r="DB294" s="216">
        <v>-172458</v>
      </c>
      <c r="DC294" s="229">
        <v>134492</v>
      </c>
      <c r="DD294" s="229">
        <v>54347</v>
      </c>
      <c r="DE294" s="151"/>
      <c r="DG294" s="229">
        <v>-673</v>
      </c>
      <c r="DH294" s="229">
        <v>1836</v>
      </c>
      <c r="DI294" s="229">
        <v>17544</v>
      </c>
      <c r="DJ294" s="229">
        <v>11042</v>
      </c>
      <c r="DK294" s="229">
        <v>0</v>
      </c>
      <c r="DL294" s="229">
        <v>0</v>
      </c>
      <c r="DM294" s="229">
        <v>6502</v>
      </c>
      <c r="DN294" s="130">
        <v>-106</v>
      </c>
      <c r="DO294" s="130">
        <v>-3700</v>
      </c>
      <c r="DP294" s="130">
        <v>0</v>
      </c>
      <c r="DQ294" s="130">
        <v>2696</v>
      </c>
      <c r="DR294" s="130">
        <v>49120</v>
      </c>
      <c r="DS294" s="130">
        <v>15675</v>
      </c>
      <c r="DT294" s="167"/>
      <c r="DU294" s="183">
        <v>321</v>
      </c>
      <c r="DV294" s="183">
        <v>-13590</v>
      </c>
      <c r="DW294" s="180">
        <v>6719</v>
      </c>
      <c r="DX294" s="130">
        <v>134492</v>
      </c>
      <c r="DY294" s="229">
        <v>120752</v>
      </c>
      <c r="DZ294" s="229">
        <v>7019</v>
      </c>
      <c r="EA294" s="229">
        <v>6721</v>
      </c>
      <c r="EB294" s="212">
        <v>20.5</v>
      </c>
      <c r="EC294" s="208"/>
      <c r="ED294" s="183">
        <v>217.213235294117</v>
      </c>
      <c r="EE294" s="3">
        <v>77833</v>
      </c>
      <c r="EF294" s="183">
        <v>83237</v>
      </c>
      <c r="EG294" s="130">
        <v>84270</v>
      </c>
      <c r="EH294" s="130"/>
      <c r="EI294" s="130"/>
      <c r="EJ294" s="130"/>
      <c r="EK294" s="183">
        <v>-12217</v>
      </c>
      <c r="EL294" s="183">
        <v>18</v>
      </c>
      <c r="EM294" s="183">
        <v>6365</v>
      </c>
      <c r="EN294" s="226">
        <v>-12599</v>
      </c>
      <c r="EO294" s="226">
        <v>106</v>
      </c>
      <c r="EP294" s="226">
        <v>1271</v>
      </c>
      <c r="EQ294" s="226">
        <v>-10862</v>
      </c>
      <c r="ER294" s="230">
        <v>103</v>
      </c>
      <c r="ES294" s="230">
        <v>1803</v>
      </c>
      <c r="ET294" s="3">
        <v>8000</v>
      </c>
      <c r="EU294" s="211">
        <v>0</v>
      </c>
      <c r="EV294" s="183">
        <v>13500</v>
      </c>
      <c r="EW294" s="183">
        <v>0</v>
      </c>
      <c r="EX294" s="130">
        <v>14900</v>
      </c>
      <c r="EY294" s="183">
        <v>-4500</v>
      </c>
      <c r="EZ294" s="3">
        <v>85642</v>
      </c>
      <c r="FA294" s="3">
        <v>61350</v>
      </c>
      <c r="FB294" s="3">
        <v>24292</v>
      </c>
      <c r="FC294" s="3">
        <v>30159</v>
      </c>
      <c r="FD294" s="226">
        <v>85350</v>
      </c>
      <c r="FE294" s="183">
        <v>61260</v>
      </c>
      <c r="FF294" s="183">
        <v>24090</v>
      </c>
      <c r="FG294" s="183">
        <v>29568</v>
      </c>
      <c r="FH294" s="230">
        <v>82160</v>
      </c>
      <c r="FI294" s="130">
        <v>63070</v>
      </c>
      <c r="FJ294" s="130">
        <v>19090</v>
      </c>
      <c r="FK294" s="130">
        <v>28998</v>
      </c>
      <c r="FL294" s="29">
        <v>3226.7228572294816</v>
      </c>
      <c r="FM294" s="139">
        <v>3374.7519095447165</v>
      </c>
      <c r="FN294" s="139">
        <v>3498.5308227392661</v>
      </c>
      <c r="FO294" s="172">
        <f t="shared" si="12"/>
        <v>5890.3414634146338</v>
      </c>
      <c r="FP294" s="170">
        <f t="shared" si="13"/>
        <v>176.61134155117037</v>
      </c>
      <c r="FR294" s="175"/>
      <c r="FS294" s="195"/>
      <c r="FV294" s="175">
        <v>8540</v>
      </c>
      <c r="FW294" s="2">
        <f t="shared" si="14"/>
        <v>-8540</v>
      </c>
      <c r="FZ294" s="186"/>
      <c r="GA294" s="2"/>
      <c r="GB294" s="2"/>
    </row>
    <row r="295" spans="1:184" ht="13" x14ac:dyDescent="0.3">
      <c r="A295" s="77">
        <v>981</v>
      </c>
      <c r="B295" s="75" t="s">
        <v>283</v>
      </c>
      <c r="C295" s="179">
        <v>2357</v>
      </c>
      <c r="D295" s="138"/>
      <c r="E295" s="142">
        <v>-9.8888888888888893</v>
      </c>
      <c r="F295" s="142">
        <v>27.637289508708985</v>
      </c>
      <c r="G295" s="183">
        <v>-1500.6364022061941</v>
      </c>
      <c r="H295" s="144"/>
      <c r="I295" s="186"/>
      <c r="K295" s="210">
        <v>61.720593833269888</v>
      </c>
      <c r="L295" s="143">
        <v>276.62282562579549</v>
      </c>
      <c r="M295" s="146">
        <v>12.472746331236898</v>
      </c>
      <c r="N295" s="143">
        <v>8095.0360627916853</v>
      </c>
      <c r="O295" s="138">
        <v>5819</v>
      </c>
      <c r="P295" s="143">
        <v>4786</v>
      </c>
      <c r="Q295" s="184">
        <v>17646</v>
      </c>
      <c r="R295" s="184">
        <v>-12860</v>
      </c>
      <c r="S295" s="139">
        <v>7655</v>
      </c>
      <c r="T295" s="138">
        <v>4840</v>
      </c>
      <c r="U295" s="151"/>
      <c r="W295" s="183">
        <v>-1</v>
      </c>
      <c r="X295" s="183">
        <v>8</v>
      </c>
      <c r="Y295" s="184">
        <v>-358</v>
      </c>
      <c r="Z295" s="130">
        <v>620</v>
      </c>
      <c r="AA295" s="130">
        <v>0</v>
      </c>
      <c r="AB295" s="130">
        <v>0</v>
      </c>
      <c r="AC295" s="184">
        <v>-978</v>
      </c>
      <c r="AD295" s="184">
        <v>13</v>
      </c>
      <c r="AE295" s="184">
        <v>0</v>
      </c>
      <c r="AF295" s="183">
        <v>0</v>
      </c>
      <c r="AG295" s="183">
        <v>-965</v>
      </c>
      <c r="AH295" s="183">
        <v>933</v>
      </c>
      <c r="AI295" s="183">
        <v>-444</v>
      </c>
      <c r="AJ295" s="167"/>
      <c r="AK295" s="183">
        <v>681</v>
      </c>
      <c r="AL295" s="183">
        <v>-34</v>
      </c>
      <c r="AM295" s="180">
        <v>-1632</v>
      </c>
      <c r="AN295" s="139">
        <v>7655</v>
      </c>
      <c r="AO295" s="138">
        <v>6846</v>
      </c>
      <c r="AP295" s="184">
        <v>289</v>
      </c>
      <c r="AQ295" s="138">
        <v>520</v>
      </c>
      <c r="AR295" s="109">
        <v>21.5</v>
      </c>
      <c r="AS295" s="144"/>
      <c r="AT295" s="139">
        <v>282</v>
      </c>
      <c r="AU295" s="228">
        <v>2343</v>
      </c>
      <c r="AV295" s="138"/>
      <c r="AW295" s="224">
        <v>0.28088888888888891</v>
      </c>
      <c r="AX295" s="225">
        <v>32.904075091575095</v>
      </c>
      <c r="AY295" s="139">
        <v>-1846.3508322663251</v>
      </c>
      <c r="AZ295" s="144"/>
      <c r="BA295"/>
      <c r="BC295" s="189">
        <v>55.991221653255302</v>
      </c>
      <c r="BD295" s="183">
        <v>330.34571062740076</v>
      </c>
      <c r="BE295" s="140">
        <v>15.160996028764623</v>
      </c>
      <c r="BF295" s="139">
        <v>7953.051643192488</v>
      </c>
      <c r="BG295" s="184">
        <v>5537</v>
      </c>
      <c r="BH295" s="216">
        <v>4684</v>
      </c>
      <c r="BI295" s="216">
        <v>17319</v>
      </c>
      <c r="BJ295" s="216">
        <v>-12635</v>
      </c>
      <c r="BK295" s="216">
        <v>8003</v>
      </c>
      <c r="BL295" s="216">
        <v>4785</v>
      </c>
      <c r="BM295" s="151"/>
      <c r="BO295" s="216">
        <v>1</v>
      </c>
      <c r="BP295" s="216">
        <v>4</v>
      </c>
      <c r="BQ295" s="216">
        <v>158</v>
      </c>
      <c r="BR295" s="216">
        <v>611</v>
      </c>
      <c r="BS295" s="216">
        <v>0</v>
      </c>
      <c r="BT295" s="216">
        <v>0</v>
      </c>
      <c r="BU295" s="216">
        <v>-453</v>
      </c>
      <c r="BV295" s="184">
        <v>13</v>
      </c>
      <c r="BW295" s="184">
        <v>0</v>
      </c>
      <c r="BX295" s="183">
        <v>0</v>
      </c>
      <c r="BY295" s="183">
        <v>-440</v>
      </c>
      <c r="BZ295" s="183">
        <v>493</v>
      </c>
      <c r="CA295" s="183">
        <v>43</v>
      </c>
      <c r="CB295" s="167"/>
      <c r="CC295" s="183">
        <v>-61</v>
      </c>
      <c r="CD295" s="183">
        <v>-37</v>
      </c>
      <c r="CE295" s="180">
        <v>-798</v>
      </c>
      <c r="CF295" s="139">
        <v>8003</v>
      </c>
      <c r="CG295" s="216">
        <v>7171</v>
      </c>
      <c r="CH295" s="216">
        <v>303</v>
      </c>
      <c r="CI295" s="216">
        <v>529</v>
      </c>
      <c r="CJ295" s="212">
        <v>21.5</v>
      </c>
      <c r="CK295" s="144"/>
      <c r="CL295" s="130">
        <v>170</v>
      </c>
      <c r="CM295" s="228">
        <v>2314</v>
      </c>
      <c r="CN295" s="138"/>
      <c r="CO295" s="142">
        <v>59.848484848484851</v>
      </c>
      <c r="CP295" s="142">
        <v>30.078931390406801</v>
      </c>
      <c r="CQ295" s="183">
        <v>-967.15643906655146</v>
      </c>
      <c r="CR295" s="144"/>
      <c r="CS295"/>
      <c r="CU295" s="232">
        <v>63.199325274107395</v>
      </c>
      <c r="CV295" s="143">
        <v>807.26015557476228</v>
      </c>
      <c r="CW295" s="146">
        <v>46.770476059816161</v>
      </c>
      <c r="CX295" s="143">
        <v>6299.9135695764908</v>
      </c>
      <c r="CY295" s="131">
        <v>3777</v>
      </c>
      <c r="CZ295" s="229">
        <v>2311</v>
      </c>
      <c r="DA295" s="229">
        <v>14504</v>
      </c>
      <c r="DB295" s="216">
        <v>-12193</v>
      </c>
      <c r="DC295" s="229">
        <v>8369</v>
      </c>
      <c r="DD295" s="229">
        <v>5790</v>
      </c>
      <c r="DE295" s="151"/>
      <c r="DG295" s="229">
        <v>4</v>
      </c>
      <c r="DH295" s="229">
        <v>9</v>
      </c>
      <c r="DI295" s="229">
        <v>1979</v>
      </c>
      <c r="DJ295" s="229">
        <v>640</v>
      </c>
      <c r="DK295" s="229">
        <v>0</v>
      </c>
      <c r="DL295" s="229">
        <v>0</v>
      </c>
      <c r="DM295" s="229">
        <v>1339</v>
      </c>
      <c r="DN295" s="131">
        <v>13</v>
      </c>
      <c r="DO295" s="131">
        <v>0</v>
      </c>
      <c r="DP295" s="130">
        <v>0</v>
      </c>
      <c r="DQ295" s="130">
        <v>1352</v>
      </c>
      <c r="DR295" s="130">
        <v>1844</v>
      </c>
      <c r="DS295" s="130">
        <v>1972</v>
      </c>
      <c r="DT295" s="167"/>
      <c r="DU295" s="183">
        <v>-199</v>
      </c>
      <c r="DV295" s="183">
        <v>-37</v>
      </c>
      <c r="DW295" s="180">
        <v>2082</v>
      </c>
      <c r="DX295" s="130">
        <v>8369</v>
      </c>
      <c r="DY295" s="229">
        <v>7563</v>
      </c>
      <c r="DZ295" s="229">
        <v>324</v>
      </c>
      <c r="EA295" s="229">
        <v>482</v>
      </c>
      <c r="EB295" s="212">
        <v>22</v>
      </c>
      <c r="EC295" s="208"/>
      <c r="ED295" s="183">
        <v>70.139705882352999</v>
      </c>
      <c r="EE295" s="3">
        <v>9899</v>
      </c>
      <c r="EF295" s="183">
        <v>9913</v>
      </c>
      <c r="EG295" s="130">
        <v>9291</v>
      </c>
      <c r="EH295" s="130"/>
      <c r="EI295" s="130"/>
      <c r="EJ295" s="130"/>
      <c r="EK295" s="183">
        <v>-1395</v>
      </c>
      <c r="EL295" s="183">
        <v>50</v>
      </c>
      <c r="EM295" s="183">
        <v>157</v>
      </c>
      <c r="EN295" s="226">
        <v>-1275</v>
      </c>
      <c r="EO295" s="226">
        <v>231</v>
      </c>
      <c r="EP295" s="226">
        <v>203</v>
      </c>
      <c r="EQ295" s="226">
        <v>-42</v>
      </c>
      <c r="ER295" s="230">
        <v>13</v>
      </c>
      <c r="ES295" s="230">
        <v>139</v>
      </c>
      <c r="ET295" s="3">
        <v>0</v>
      </c>
      <c r="EU295" s="211">
        <v>0</v>
      </c>
      <c r="EV295" s="183">
        <v>0</v>
      </c>
      <c r="EW295" s="183">
        <v>1650</v>
      </c>
      <c r="EX295" s="130">
        <v>639</v>
      </c>
      <c r="EY295" s="183">
        <v>-950</v>
      </c>
      <c r="EZ295" s="3">
        <v>2219</v>
      </c>
      <c r="FA295" s="3">
        <v>869</v>
      </c>
      <c r="FB295" s="3">
        <v>1350</v>
      </c>
      <c r="FC295" s="3">
        <v>151</v>
      </c>
      <c r="FD295" s="226">
        <v>3833</v>
      </c>
      <c r="FE295" s="183">
        <v>833</v>
      </c>
      <c r="FF295" s="183">
        <v>3000</v>
      </c>
      <c r="FG295" s="183">
        <v>144</v>
      </c>
      <c r="FH295" s="230">
        <v>3485</v>
      </c>
      <c r="FI295" s="130">
        <v>1435</v>
      </c>
      <c r="FJ295" s="130">
        <v>2050</v>
      </c>
      <c r="FK295" s="130">
        <v>137</v>
      </c>
      <c r="FL295" s="29">
        <v>1792.9571489181162</v>
      </c>
      <c r="FM295" s="139">
        <v>2455.8258642765686</v>
      </c>
      <c r="FN295" s="139">
        <v>2228.1763180639587</v>
      </c>
      <c r="FO295" s="172">
        <f t="shared" si="12"/>
        <v>343.77272727272725</v>
      </c>
      <c r="FP295" s="170">
        <f t="shared" si="13"/>
        <v>148.56211204525809</v>
      </c>
      <c r="FR295" s="175"/>
      <c r="FS295" s="195"/>
      <c r="FV295" s="175">
        <v>71</v>
      </c>
      <c r="FW295" s="2">
        <f t="shared" si="14"/>
        <v>-71</v>
      </c>
      <c r="FZ295" s="186"/>
      <c r="GA295" s="2"/>
      <c r="GB295" s="2"/>
    </row>
    <row r="296" spans="1:184" ht="13" x14ac:dyDescent="0.3">
      <c r="A296" s="77">
        <v>989</v>
      </c>
      <c r="B296" s="75" t="s">
        <v>284</v>
      </c>
      <c r="C296" s="179">
        <v>5703</v>
      </c>
      <c r="D296" s="138"/>
      <c r="E296" s="142">
        <v>-50.9375</v>
      </c>
      <c r="F296" s="142">
        <v>57.094951105691436</v>
      </c>
      <c r="G296" s="183">
        <v>-3160.7925653165003</v>
      </c>
      <c r="H296" s="144"/>
      <c r="I296" s="186"/>
      <c r="K296" s="210">
        <v>49.395078884983242</v>
      </c>
      <c r="L296" s="143">
        <v>24.197790636507101</v>
      </c>
      <c r="M296" s="146">
        <v>1.0730948678071541</v>
      </c>
      <c r="N296" s="143">
        <v>8230.5803962826576</v>
      </c>
      <c r="O296" s="138">
        <v>9991</v>
      </c>
      <c r="P296" s="143">
        <v>3710</v>
      </c>
      <c r="Q296" s="184">
        <v>41202</v>
      </c>
      <c r="R296" s="184">
        <v>-37492</v>
      </c>
      <c r="S296" s="139">
        <v>20510</v>
      </c>
      <c r="T296" s="138">
        <v>18423</v>
      </c>
      <c r="U296" s="151"/>
      <c r="W296" s="183">
        <v>157</v>
      </c>
      <c r="X296" s="183">
        <v>895</v>
      </c>
      <c r="Y296" s="184">
        <v>2493</v>
      </c>
      <c r="Z296" s="130">
        <v>1491</v>
      </c>
      <c r="AA296" s="130">
        <v>0</v>
      </c>
      <c r="AB296" s="130">
        <v>0</v>
      </c>
      <c r="AC296" s="184">
        <v>1002</v>
      </c>
      <c r="AD296" s="184">
        <v>0</v>
      </c>
      <c r="AE296" s="183">
        <v>0</v>
      </c>
      <c r="AF296" s="183">
        <v>0</v>
      </c>
      <c r="AG296" s="183">
        <v>1002</v>
      </c>
      <c r="AH296" s="183">
        <v>-110</v>
      </c>
      <c r="AI296" s="183">
        <v>2496</v>
      </c>
      <c r="AJ296" s="167"/>
      <c r="AK296" s="183">
        <v>-1306</v>
      </c>
      <c r="AL296" s="183">
        <v>0</v>
      </c>
      <c r="AM296" s="180">
        <v>-2647</v>
      </c>
      <c r="AN296" s="139">
        <v>20510</v>
      </c>
      <c r="AO296" s="138">
        <v>16894</v>
      </c>
      <c r="AP296" s="184">
        <v>1550</v>
      </c>
      <c r="AQ296" s="138">
        <v>2066</v>
      </c>
      <c r="AR296" s="109">
        <v>22</v>
      </c>
      <c r="AS296" s="144"/>
      <c r="AT296" s="139">
        <v>62</v>
      </c>
      <c r="AU296" s="228">
        <v>5616</v>
      </c>
      <c r="AV296" s="138"/>
      <c r="AW296" s="224">
        <v>0.21158152927375493</v>
      </c>
      <c r="AX296" s="225">
        <v>69.826942811829468</v>
      </c>
      <c r="AY296" s="139">
        <v>-2751.602564102564</v>
      </c>
      <c r="AZ296" s="144"/>
      <c r="BA296"/>
      <c r="BC296" s="189">
        <v>46.671307980158382</v>
      </c>
      <c r="BD296" s="183">
        <v>113.78205128205128</v>
      </c>
      <c r="BE296" s="140">
        <v>5.0371466211692546</v>
      </c>
      <c r="BF296" s="139">
        <v>8244.8361823361829</v>
      </c>
      <c r="BG296" s="184">
        <v>10509</v>
      </c>
      <c r="BH296" s="216">
        <v>4173</v>
      </c>
      <c r="BI296" s="216">
        <v>42404</v>
      </c>
      <c r="BJ296" s="216">
        <v>-38231</v>
      </c>
      <c r="BK296" s="216">
        <v>20347</v>
      </c>
      <c r="BL296" s="216">
        <v>18356</v>
      </c>
      <c r="BM296" s="151"/>
      <c r="BO296" s="216">
        <v>9</v>
      </c>
      <c r="BP296" s="216">
        <v>259</v>
      </c>
      <c r="BQ296" s="216">
        <v>740</v>
      </c>
      <c r="BR296" s="216">
        <v>2945</v>
      </c>
      <c r="BS296" s="216">
        <v>5200</v>
      </c>
      <c r="BT296" s="216">
        <v>351</v>
      </c>
      <c r="BU296" s="216">
        <v>2644</v>
      </c>
      <c r="BV296" s="184">
        <v>0</v>
      </c>
      <c r="BW296" s="183">
        <v>0</v>
      </c>
      <c r="BX296" s="183">
        <v>0</v>
      </c>
      <c r="BY296" s="183">
        <v>2644</v>
      </c>
      <c r="BZ296" s="183">
        <v>2535</v>
      </c>
      <c r="CA296" s="183">
        <v>5942</v>
      </c>
      <c r="CB296" s="167"/>
      <c r="CC296" s="183">
        <v>-7664</v>
      </c>
      <c r="CD296" s="183">
        <v>0</v>
      </c>
      <c r="CE296" s="180">
        <v>2484</v>
      </c>
      <c r="CF296" s="139">
        <v>20347</v>
      </c>
      <c r="CG296" s="216">
        <v>16830</v>
      </c>
      <c r="CH296" s="216">
        <v>1424</v>
      </c>
      <c r="CI296" s="216">
        <v>2093</v>
      </c>
      <c r="CJ296" s="212">
        <v>22</v>
      </c>
      <c r="CK296" s="144"/>
      <c r="CL296" s="130">
        <v>200</v>
      </c>
      <c r="CM296" s="228">
        <v>5522</v>
      </c>
      <c r="CN296" s="138"/>
      <c r="CO296" s="142">
        <v>40.987654320987652</v>
      </c>
      <c r="CP296" s="142">
        <v>53.006776466364492</v>
      </c>
      <c r="CQ296" s="183">
        <v>-2909.2720028975009</v>
      </c>
      <c r="CR296" s="144"/>
      <c r="CS296"/>
      <c r="CU296" s="232">
        <v>52.928202449358636</v>
      </c>
      <c r="CV296" s="143">
        <v>145.78051430641071</v>
      </c>
      <c r="CW296" s="146">
        <v>6.4201590700520033</v>
      </c>
      <c r="CX296" s="143">
        <v>8287.9391524809853</v>
      </c>
      <c r="CY296" s="131">
        <v>9398</v>
      </c>
      <c r="CZ296" s="229">
        <v>3905</v>
      </c>
      <c r="DA296" s="229">
        <v>41809</v>
      </c>
      <c r="DB296" s="216">
        <v>-37904</v>
      </c>
      <c r="DC296" s="229">
        <v>20779</v>
      </c>
      <c r="DD296" s="229">
        <v>19882</v>
      </c>
      <c r="DE296" s="151"/>
      <c r="DG296" s="229">
        <v>-27</v>
      </c>
      <c r="DH296" s="229">
        <v>509</v>
      </c>
      <c r="DI296" s="229">
        <v>3239</v>
      </c>
      <c r="DJ296" s="229">
        <v>2697</v>
      </c>
      <c r="DK296" s="229">
        <v>0</v>
      </c>
      <c r="DL296" s="229">
        <v>0</v>
      </c>
      <c r="DM296" s="229">
        <v>542</v>
      </c>
      <c r="DN296" s="131">
        <v>0</v>
      </c>
      <c r="DO296" s="130">
        <v>0</v>
      </c>
      <c r="DP296" s="130">
        <v>0</v>
      </c>
      <c r="DQ296" s="130">
        <v>542</v>
      </c>
      <c r="DR296" s="130">
        <v>3077</v>
      </c>
      <c r="DS296" s="130">
        <v>3198</v>
      </c>
      <c r="DT296" s="167"/>
      <c r="DU296" s="183">
        <v>7094</v>
      </c>
      <c r="DV296" s="183">
        <v>0</v>
      </c>
      <c r="DW296" s="180">
        <v>1481</v>
      </c>
      <c r="DX296" s="130">
        <v>20779</v>
      </c>
      <c r="DY296" s="229">
        <v>17420</v>
      </c>
      <c r="DZ296" s="229">
        <v>1465</v>
      </c>
      <c r="EA296" s="229">
        <v>1894</v>
      </c>
      <c r="EB296" s="212">
        <v>22</v>
      </c>
      <c r="EC296" s="208"/>
      <c r="ED296" s="183">
        <v>192.029411764705</v>
      </c>
      <c r="EE296" s="3">
        <v>27726</v>
      </c>
      <c r="EF296" s="183">
        <v>27818</v>
      </c>
      <c r="EG296" s="130">
        <v>27914</v>
      </c>
      <c r="EH296" s="130"/>
      <c r="EI296" s="130"/>
      <c r="EJ296" s="130"/>
      <c r="EK296" s="183">
        <v>-5784</v>
      </c>
      <c r="EL296" s="183">
        <v>541</v>
      </c>
      <c r="EM296" s="183">
        <v>100</v>
      </c>
      <c r="EN296" s="226">
        <v>-3518</v>
      </c>
      <c r="EO296" s="226">
        <v>0</v>
      </c>
      <c r="EP296" s="226">
        <v>60</v>
      </c>
      <c r="EQ296" s="226">
        <v>-1797</v>
      </c>
      <c r="ER296" s="230">
        <v>38</v>
      </c>
      <c r="ES296" s="230">
        <v>42</v>
      </c>
      <c r="ET296" s="3">
        <v>0</v>
      </c>
      <c r="EU296" s="211">
        <v>2600</v>
      </c>
      <c r="EV296" s="183">
        <v>0</v>
      </c>
      <c r="EW296" s="183">
        <v>6400</v>
      </c>
      <c r="EX296" s="130">
        <v>0</v>
      </c>
      <c r="EY296" s="183">
        <v>-6500</v>
      </c>
      <c r="EZ296" s="3">
        <v>20100</v>
      </c>
      <c r="FA296" s="3">
        <v>0</v>
      </c>
      <c r="FB296" s="3">
        <v>20100</v>
      </c>
      <c r="FC296" s="3">
        <v>1719</v>
      </c>
      <c r="FD296" s="226">
        <v>26500</v>
      </c>
      <c r="FE296" s="183">
        <v>0</v>
      </c>
      <c r="FF296" s="183">
        <v>26500</v>
      </c>
      <c r="FG296" s="183">
        <v>1869</v>
      </c>
      <c r="FH296" s="230">
        <v>20000</v>
      </c>
      <c r="FI296" s="130">
        <v>0</v>
      </c>
      <c r="FJ296" s="130">
        <v>20000</v>
      </c>
      <c r="FK296" s="130">
        <v>3869</v>
      </c>
      <c r="FL296" s="29">
        <v>9126.6000350692611</v>
      </c>
      <c r="FM296" s="139">
        <v>10470.797720797722</v>
      </c>
      <c r="FN296" s="139">
        <v>9556.5012676566457</v>
      </c>
      <c r="FO296" s="172">
        <f t="shared" si="12"/>
        <v>791.81818181818187</v>
      </c>
      <c r="FP296" s="170">
        <f t="shared" si="13"/>
        <v>143.39336867406408</v>
      </c>
      <c r="FR296" s="175"/>
      <c r="FS296" s="195"/>
      <c r="FV296" s="175">
        <v>3002</v>
      </c>
      <c r="FW296" s="2">
        <f t="shared" si="14"/>
        <v>-3002</v>
      </c>
      <c r="FZ296" s="186"/>
      <c r="GA296" s="2"/>
      <c r="GB296" s="2"/>
    </row>
    <row r="297" spans="1:184" ht="13" x14ac:dyDescent="0.3">
      <c r="A297" s="77">
        <v>992</v>
      </c>
      <c r="B297" s="75" t="s">
        <v>285</v>
      </c>
      <c r="C297" s="179">
        <v>18851</v>
      </c>
      <c r="D297" s="138"/>
      <c r="E297" s="142">
        <v>1.2322663252240718</v>
      </c>
      <c r="F297" s="142">
        <v>62.763791392553934</v>
      </c>
      <c r="G297" s="183">
        <v>-3923.2401464113309</v>
      </c>
      <c r="H297" s="144"/>
      <c r="I297" s="186"/>
      <c r="K297" s="210">
        <v>50.35826371901971</v>
      </c>
      <c r="L297" s="143">
        <v>239.03241207363004</v>
      </c>
      <c r="M297" s="146">
        <v>11.1048168203854</v>
      </c>
      <c r="N297" s="143">
        <v>7856.6654288897143</v>
      </c>
      <c r="O297" s="138">
        <v>58830</v>
      </c>
      <c r="P297" s="143">
        <v>17834</v>
      </c>
      <c r="Q297" s="184">
        <v>128336</v>
      </c>
      <c r="R297" s="184">
        <v>-110502</v>
      </c>
      <c r="S297" s="139">
        <v>75054</v>
      </c>
      <c r="T297" s="138">
        <v>43160</v>
      </c>
      <c r="U297" s="151"/>
      <c r="W297" s="183">
        <v>533</v>
      </c>
      <c r="X297" s="183">
        <v>1285</v>
      </c>
      <c r="Y297" s="184">
        <v>9530</v>
      </c>
      <c r="Z297" s="130">
        <v>8840</v>
      </c>
      <c r="AA297" s="130">
        <v>0</v>
      </c>
      <c r="AB297" s="130">
        <v>0</v>
      </c>
      <c r="AC297" s="184">
        <v>690</v>
      </c>
      <c r="AD297" s="183">
        <v>20</v>
      </c>
      <c r="AE297" s="183">
        <v>0</v>
      </c>
      <c r="AF297" s="183">
        <v>-100</v>
      </c>
      <c r="AG297" s="183">
        <v>610</v>
      </c>
      <c r="AH297" s="183">
        <v>8470</v>
      </c>
      <c r="AI297" s="183">
        <v>9361</v>
      </c>
      <c r="AJ297" s="167"/>
      <c r="AK297" s="183">
        <v>-118</v>
      </c>
      <c r="AL297" s="183">
        <v>-7716</v>
      </c>
      <c r="AM297" s="180">
        <v>-1393</v>
      </c>
      <c r="AN297" s="139">
        <v>75054</v>
      </c>
      <c r="AO297" s="138">
        <v>61072</v>
      </c>
      <c r="AP297" s="184">
        <v>9155</v>
      </c>
      <c r="AQ297" s="138">
        <v>4827</v>
      </c>
      <c r="AR297" s="109">
        <v>21.5</v>
      </c>
      <c r="AS297" s="144"/>
      <c r="AT297" s="139">
        <v>45</v>
      </c>
      <c r="AU297" s="228">
        <v>18765</v>
      </c>
      <c r="AV297" s="138"/>
      <c r="AW297" s="224">
        <v>0.5882177616269072</v>
      </c>
      <c r="AX297" s="225">
        <v>69.098927681165833</v>
      </c>
      <c r="AY297" s="139">
        <v>-4435.171862509992</v>
      </c>
      <c r="AZ297" s="144"/>
      <c r="BA297"/>
      <c r="BC297" s="189">
        <v>47.790328918603301</v>
      </c>
      <c r="BD297" s="183">
        <v>147.93498534505727</v>
      </c>
      <c r="BE297" s="140">
        <v>6.5444633906887821</v>
      </c>
      <c r="BF297" s="139">
        <v>8250.6794564348529</v>
      </c>
      <c r="BG297" s="184">
        <v>59975</v>
      </c>
      <c r="BH297" s="216">
        <v>19060</v>
      </c>
      <c r="BI297" s="216">
        <v>131161</v>
      </c>
      <c r="BJ297" s="216">
        <v>-112060</v>
      </c>
      <c r="BK297" s="216">
        <v>73571</v>
      </c>
      <c r="BL297" s="216">
        <v>42963</v>
      </c>
      <c r="BM297" s="151"/>
      <c r="BO297" s="216">
        <v>422</v>
      </c>
      <c r="BP297" s="216">
        <v>1316</v>
      </c>
      <c r="BQ297" s="216">
        <v>6212</v>
      </c>
      <c r="BR297" s="216">
        <v>7152</v>
      </c>
      <c r="BS297" s="216">
        <v>0</v>
      </c>
      <c r="BT297" s="216">
        <v>0</v>
      </c>
      <c r="BU297" s="216">
        <v>-940</v>
      </c>
      <c r="BV297" s="183">
        <v>20</v>
      </c>
      <c r="BW297" s="183">
        <v>0</v>
      </c>
      <c r="BX297" s="183">
        <v>0</v>
      </c>
      <c r="BY297" s="183">
        <v>-920</v>
      </c>
      <c r="BZ297" s="183">
        <v>7550</v>
      </c>
      <c r="CA297" s="183">
        <v>5130</v>
      </c>
      <c r="CB297" s="167"/>
      <c r="CC297" s="183">
        <v>-768</v>
      </c>
      <c r="CD297" s="183">
        <v>-6648</v>
      </c>
      <c r="CE297" s="180">
        <v>-9586</v>
      </c>
      <c r="CF297" s="139">
        <v>73571</v>
      </c>
      <c r="CG297" s="216">
        <v>60452</v>
      </c>
      <c r="CH297" s="216">
        <v>8023</v>
      </c>
      <c r="CI297" s="216">
        <v>5096</v>
      </c>
      <c r="CJ297" s="212">
        <v>21.5</v>
      </c>
      <c r="CK297" s="144"/>
      <c r="CL297" s="130">
        <v>165</v>
      </c>
      <c r="CM297" s="228">
        <v>18577</v>
      </c>
      <c r="CN297" s="138"/>
      <c r="CO297" s="142">
        <v>1.1365550431120914</v>
      </c>
      <c r="CP297" s="142">
        <v>62.184873949579831</v>
      </c>
      <c r="CQ297" s="183">
        <v>-4365.6672229100504</v>
      </c>
      <c r="CR297" s="144"/>
      <c r="CS297"/>
      <c r="CU297" s="232">
        <v>49.500409591690023</v>
      </c>
      <c r="CV297" s="143">
        <v>95.279108575119778</v>
      </c>
      <c r="CW297" s="146">
        <v>4.1751488008685707</v>
      </c>
      <c r="CX297" s="143">
        <v>8329.4934596544117</v>
      </c>
      <c r="CY297" s="131">
        <v>60688</v>
      </c>
      <c r="CZ297" s="229">
        <v>18236</v>
      </c>
      <c r="DA297" s="229">
        <v>135490</v>
      </c>
      <c r="DB297" s="216">
        <v>-117254</v>
      </c>
      <c r="DC297" s="229">
        <v>74847</v>
      </c>
      <c r="DD297" s="229">
        <v>51751</v>
      </c>
      <c r="DE297" s="151"/>
      <c r="DG297" s="229">
        <v>356</v>
      </c>
      <c r="DH297" s="229">
        <v>1376</v>
      </c>
      <c r="DI297" s="229">
        <v>11076</v>
      </c>
      <c r="DJ297" s="229">
        <v>8599</v>
      </c>
      <c r="DK297" s="229">
        <v>0</v>
      </c>
      <c r="DL297" s="229">
        <v>0</v>
      </c>
      <c r="DM297" s="229">
        <v>2477</v>
      </c>
      <c r="DN297" s="130">
        <v>14</v>
      </c>
      <c r="DO297" s="130">
        <v>0</v>
      </c>
      <c r="DP297" s="130">
        <v>0</v>
      </c>
      <c r="DQ297" s="130">
        <v>2491</v>
      </c>
      <c r="DR297" s="130">
        <v>10042</v>
      </c>
      <c r="DS297" s="130">
        <v>10205</v>
      </c>
      <c r="DT297" s="167"/>
      <c r="DU297" s="183">
        <v>505</v>
      </c>
      <c r="DV297" s="183">
        <v>-9714</v>
      </c>
      <c r="DW297" s="180">
        <v>1813</v>
      </c>
      <c r="DX297" s="130">
        <v>74847</v>
      </c>
      <c r="DY297" s="229">
        <v>61432</v>
      </c>
      <c r="DZ297" s="229">
        <v>8519</v>
      </c>
      <c r="EA297" s="229">
        <v>4896</v>
      </c>
      <c r="EB297" s="212">
        <v>21.5</v>
      </c>
      <c r="EC297" s="208"/>
      <c r="ED297" s="183">
        <v>186.992647058823</v>
      </c>
      <c r="EE297" s="3">
        <v>53456</v>
      </c>
      <c r="EF297" s="183">
        <v>53796</v>
      </c>
      <c r="EG297" s="130">
        <v>56573</v>
      </c>
      <c r="EH297" s="130"/>
      <c r="EI297" s="130"/>
      <c r="EJ297" s="130"/>
      <c r="EK297" s="183">
        <v>-11750</v>
      </c>
      <c r="EL297" s="183">
        <v>218</v>
      </c>
      <c r="EM297" s="183">
        <v>778</v>
      </c>
      <c r="EN297" s="226">
        <v>-16817</v>
      </c>
      <c r="EO297" s="226">
        <v>635</v>
      </c>
      <c r="EP297" s="226">
        <v>1466</v>
      </c>
      <c r="EQ297" s="226">
        <v>-9267</v>
      </c>
      <c r="ER297" s="230">
        <v>164</v>
      </c>
      <c r="ES297" s="230">
        <v>711</v>
      </c>
      <c r="ET297" s="3">
        <v>0</v>
      </c>
      <c r="EU297" s="211">
        <v>4000</v>
      </c>
      <c r="EV297" s="183">
        <v>5300</v>
      </c>
      <c r="EW297" s="183">
        <v>15000</v>
      </c>
      <c r="EX297" s="130">
        <v>24625</v>
      </c>
      <c r="EY297" s="183">
        <v>-19000</v>
      </c>
      <c r="EZ297" s="3">
        <v>64573</v>
      </c>
      <c r="FA297" s="3">
        <v>32057</v>
      </c>
      <c r="FB297" s="3">
        <v>32516</v>
      </c>
      <c r="FC297" s="3">
        <v>24004</v>
      </c>
      <c r="FD297" s="226">
        <v>78224</v>
      </c>
      <c r="FE297" s="183">
        <v>32135</v>
      </c>
      <c r="FF297" s="183">
        <v>46089</v>
      </c>
      <c r="FG297" s="183">
        <v>23676</v>
      </c>
      <c r="FH297" s="230">
        <v>74135</v>
      </c>
      <c r="FI297" s="130">
        <v>48260</v>
      </c>
      <c r="FJ297" s="130">
        <v>25875</v>
      </c>
      <c r="FK297" s="130">
        <v>23320</v>
      </c>
      <c r="FL297" s="29">
        <v>7978.8340141106573</v>
      </c>
      <c r="FM297" s="139">
        <v>9595.8966160404998</v>
      </c>
      <c r="FN297" s="139">
        <v>10195.510577595953</v>
      </c>
      <c r="FO297" s="172">
        <f t="shared" si="12"/>
        <v>2857.3023255813955</v>
      </c>
      <c r="FP297" s="170">
        <f t="shared" si="13"/>
        <v>153.80859802882034</v>
      </c>
      <c r="FR297" s="175"/>
      <c r="FS297" s="195"/>
      <c r="FV297" s="175">
        <v>7850</v>
      </c>
      <c r="FW297" s="2">
        <f t="shared" si="14"/>
        <v>-7850</v>
      </c>
      <c r="FZ297" s="186"/>
      <c r="GA297" s="2"/>
      <c r="GB297" s="2"/>
    </row>
    <row r="298" spans="1:184" x14ac:dyDescent="0.35">
      <c r="H298" s="144"/>
      <c r="I298" s="144"/>
      <c r="BX298" s="139"/>
      <c r="CD298" s="183"/>
      <c r="CJ298" s="130"/>
      <c r="DP298" s="139"/>
      <c r="EE298" s="130"/>
      <c r="EG298" s="134"/>
      <c r="EM298" s="137"/>
      <c r="EP298" s="130"/>
      <c r="ES298" s="134"/>
      <c r="EU298" s="154"/>
      <c r="EY298" s="130"/>
      <c r="FK298" s="134"/>
      <c r="FL298" s="155"/>
      <c r="FM298" s="139"/>
      <c r="FO298" s="3"/>
      <c r="FP298"/>
    </row>
    <row r="299" spans="1:184" x14ac:dyDescent="0.35">
      <c r="EE299" s="130"/>
      <c r="FN299" s="171"/>
    </row>
    <row r="300" spans="1:184" x14ac:dyDescent="0.35">
      <c r="EE300" s="130"/>
    </row>
    <row r="301" spans="1:184" x14ac:dyDescent="0.35">
      <c r="EE301" s="130"/>
    </row>
    <row r="302" spans="1:184" x14ac:dyDescent="0.35">
      <c r="EE302" s="130"/>
    </row>
    <row r="303" spans="1:184" x14ac:dyDescent="0.35">
      <c r="EE303" s="130"/>
    </row>
    <row r="304" spans="1:184" x14ac:dyDescent="0.35">
      <c r="EE304" s="130"/>
    </row>
    <row r="305" spans="135:135" x14ac:dyDescent="0.35">
      <c r="EE305" s="130"/>
    </row>
    <row r="306" spans="135:135" x14ac:dyDescent="0.35">
      <c r="EE306" s="130"/>
    </row>
    <row r="307" spans="135:135" x14ac:dyDescent="0.35">
      <c r="EE307" s="130"/>
    </row>
    <row r="308" spans="135:135" x14ac:dyDescent="0.35">
      <c r="EE308" s="130"/>
    </row>
    <row r="309" spans="135:135" x14ac:dyDescent="0.35">
      <c r="EE309" s="130"/>
    </row>
    <row r="310" spans="135:135" x14ac:dyDescent="0.35">
      <c r="EE310" s="130"/>
    </row>
    <row r="311" spans="135:135" x14ac:dyDescent="0.35">
      <c r="EE311" s="130"/>
    </row>
    <row r="312" spans="135:135" x14ac:dyDescent="0.35">
      <c r="EE312" s="130"/>
    </row>
    <row r="313" spans="135:135" x14ac:dyDescent="0.35">
      <c r="EE313" s="130"/>
    </row>
    <row r="314" spans="135:135" x14ac:dyDescent="0.35">
      <c r="EE314" s="130"/>
    </row>
    <row r="315" spans="135:135" x14ac:dyDescent="0.35">
      <c r="EE315" s="130"/>
    </row>
    <row r="316" spans="135:135" x14ac:dyDescent="0.35">
      <c r="EE316" s="130"/>
    </row>
    <row r="317" spans="135:135" x14ac:dyDescent="0.35">
      <c r="EE317" s="130"/>
    </row>
    <row r="318" spans="135:135" x14ac:dyDescent="0.35">
      <c r="EE318" s="130"/>
    </row>
  </sheetData>
  <sortState ref="A3:GC298">
    <sortCondition ref="B3:B298"/>
  </sortState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Kuntakortti</vt:lpstr>
      <vt:lpstr>Luvut</vt:lpstr>
      <vt:lpstr>Kuntakortti!Tulostusalue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Lappalainen Vesa (VM)</cp:lastModifiedBy>
  <cp:lastPrinted>2020-05-28T10:21:02Z</cp:lastPrinted>
  <dcterms:created xsi:type="dcterms:W3CDTF">1998-06-16T10:21:51Z</dcterms:created>
  <dcterms:modified xsi:type="dcterms:W3CDTF">2021-06-01T10:41:00Z</dcterms:modified>
</cp:coreProperties>
</file>